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project\dvb-t2\excel\"/>
    </mc:Choice>
  </mc:AlternateContent>
  <xr:revisionPtr revIDLastSave="0" documentId="13_ncr:1_{89286D9E-C674-4891-A3AC-C421737D09E0}" xr6:coauthVersionLast="45" xr6:coauthVersionMax="45" xr10:uidLastSave="{00000000-0000-0000-0000-000000000000}"/>
  <bookViews>
    <workbookView xWindow="-24098" yWindow="-5468" windowWidth="24196" windowHeight="13245" tabRatio="890" xr2:uid="{00000000-000D-0000-FFFF-FFFF00000000}"/>
  </bookViews>
  <sheets>
    <sheet name="Single PLP" sheetId="1" r:id="rId1"/>
    <sheet name="T2-lite" sheetId="8" r:id="rId2"/>
    <sheet name="Multiple PLP" sheetId="2" r:id="rId3"/>
  </sheets>
  <definedNames>
    <definedName name="_Tl1">'Multiple PLP'!#REF!</definedName>
    <definedName name="_Tp1">'Multiple PLP'!#REF!</definedName>
    <definedName name="alloc_common">'Multiple PLP'!#REF!</definedName>
    <definedName name="alloc_common_4">#REF!</definedName>
    <definedName name="alloc_type1">'Multiple PLP'!#REF!</definedName>
    <definedName name="alloc_type1_4">#REF!</definedName>
    <definedName name="alloc_type2">'Multiple PLP'!#REF!</definedName>
    <definedName name="alloc_type2_4">#REF!</definedName>
    <definedName name="BWT_EXT">#REF!</definedName>
    <definedName name="Cdatasymbol">#REF!</definedName>
    <definedName name="Cfcsymbol">#REF!</definedName>
    <definedName name="ConstellationOrder">#REF!</definedName>
    <definedName name="Cp2symbol">#REF!</definedName>
    <definedName name="Ctot">'Multiple PLP'!#REF!</definedName>
    <definedName name="Ctot_4">#REF!</definedName>
    <definedName name="D_L1">'Multiple PLP'!#REF!</definedName>
    <definedName name="D_L1_4">#REF!</definedName>
    <definedName name="Excel_BuiltIn_Print_Area_1_1">'Single PLP'!$A$4:$H$94</definedName>
    <definedName name="Excel_BuiltIn_Print_Area_1_1_2">#REF!</definedName>
    <definedName name="Excel_BuiltIn_Print_Area_1_1_3">#REF!</definedName>
    <definedName name="Excel_BuiltIn_Print_Area_2">#REF!</definedName>
    <definedName name="Excel_BuiltIn_Print_Area_2_1">#REF!</definedName>
    <definedName name="Excel_BuiltIn_Sheet_Title_1">"Sheet1"</definedName>
    <definedName name="Excel_BuiltIn_Sheet_Title_2">"Sheet2"</definedName>
    <definedName name="Excel_BuiltIn_Sheet_Title_3">"Sheet3"</definedName>
    <definedName name="FCS">#REF!</definedName>
    <definedName name="FCS_PP_subtable">#REF!</definedName>
    <definedName name="FCS_SISOMISO_subtable">#REF!</definedName>
    <definedName name="GI">#REF!</definedName>
    <definedName name="Ijump_common">'Multiple PLP'!#REF!</definedName>
    <definedName name="Ijump_common_4">#REF!</definedName>
    <definedName name="Ijump_type1">'Multiple PLP'!#REF!</definedName>
    <definedName name="Ijump_type1_4">#REF!</definedName>
    <definedName name="Ijump_type2">'Multiple PLP'!#REF!</definedName>
    <definedName name="Ijump_type2_4">#REF!</definedName>
    <definedName name="Kbch">#REF!</definedName>
    <definedName name="Kbch_common">'Multiple PLP'!#REF!</definedName>
    <definedName name="Kbch_common_4">#REF!</definedName>
    <definedName name="Kbch_type1">'Multiple PLP'!#REF!</definedName>
    <definedName name="Kbch_type1_4">#REF!</definedName>
    <definedName name="Kbch_type2">'Multiple PLP'!#REF!</definedName>
    <definedName name="Kbch_type2_4">#REF!</definedName>
    <definedName name="Lf">'Multiple PLP'!#REF!</definedName>
    <definedName name="Lf_4">#REF!</definedName>
    <definedName name="Ncells_common">'Multiple PLP'!#REF!</definedName>
    <definedName name="Ncells_common_4">#REF!</definedName>
    <definedName name="Ncells_type1">'Multiple PLP'!#REF!</definedName>
    <definedName name="Ncells_type1_4">#REF!</definedName>
    <definedName name="Ncells_type2">'Multiple PLP'!#REF!</definedName>
    <definedName name="Ncells_type2_4">#REF!</definedName>
    <definedName name="Nfft">#REF!</definedName>
    <definedName name="Np2symbol">#REF!</definedName>
    <definedName name="Pi_common">'Multiple PLP'!#REF!</definedName>
    <definedName name="Pi_common_4">#REF!</definedName>
    <definedName name="Pi_type1">'Multiple PLP'!#REF!</definedName>
    <definedName name="Pi_type1_4">#REF!</definedName>
    <definedName name="Pi_type2">'Multiple PLP'!#REF!</definedName>
    <definedName name="Pi_type2_4">#REF!</definedName>
    <definedName name="plot_bit_rate">OFFSET('Multiple PLP'!#REF!,'Multiple PLP'!#REF!,0,'Multiple PLP'!#REF!)</definedName>
    <definedName name="plot_bit_rate_4">OFFSET(#REF!,#REF!,0,#REF!)</definedName>
    <definedName name="plot_lf">OFFSET('Multiple PLP'!#REF!,'Multiple PLP'!#REF!,0,'Multiple PLP'!#REF!)</definedName>
    <definedName name="plot_lf_4">OFFSET(#REF!,#REF!,0,#REF!)</definedName>
    <definedName name="plot_ti">OFFSET('Multiple PLP'!#REF!,'Multiple PLP'!#REF!,0,'Multiple PLP'!#REF!)</definedName>
    <definedName name="plot_ti_4">OFFSET(#REF!,#REF!,0,#REF!)</definedName>
    <definedName name="PP">#REF!</definedName>
    <definedName name="_xlnm.Print_Area" localSheetId="0">'Single PLP'!$A$1:$AC$108</definedName>
    <definedName name="_xlnm.Print_Area" localSheetId="1">'T2-lite'!$A$1:$V$126</definedName>
    <definedName name="Rcell">#REF!</definedName>
    <definedName name="Rmax_common">'Multiple PLP'!#REF!</definedName>
    <definedName name="Rmax_common_4">#REF!</definedName>
    <definedName name="Rmax_type1">'Multiple PLP'!#REF!</definedName>
    <definedName name="Rmax_type1_4">#REF!</definedName>
    <definedName name="Rmax_type2">'Multiple PLP'!#REF!</definedName>
    <definedName name="Rmax_type2_4">#REF!</definedName>
    <definedName name="Rmin_type2">'Multiple PLP'!#REF!</definedName>
    <definedName name="Rmin_type2_4">#REF!</definedName>
    <definedName name="SISOMISO">#REF!</definedName>
    <definedName name="Tcommon">'Multiple PLP'!#REF!</definedName>
    <definedName name="Tcommon_4">#REF!</definedName>
    <definedName name="Tl1_4">#REF!</definedName>
    <definedName name="Toverlap_common">'Multiple PLP'!#REF!</definedName>
    <definedName name="Toverlap_common_4">#REF!</definedName>
    <definedName name="Toverlap_type1">'Multiple PLP'!#REF!</definedName>
    <definedName name="Toverlap_type1_4">#REF!</definedName>
    <definedName name="Toverlap_type2">'Multiple PLP'!#REF!</definedName>
    <definedName name="Toverlap_type2_4">#REF!</definedName>
    <definedName name="Tp1_4">#REF!</definedName>
    <definedName name="TR">#REF!</definedName>
    <definedName name="TR_subtable">#REF!</definedName>
    <definedName name="Ts">'Multiple PLP'!#REF!</definedName>
    <definedName name="Ts_4">#REF!</definedName>
    <definedName name="Ttype1">'Multiple PLP'!#REF!</definedName>
    <definedName name="Ttype1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62" i="1" l="1"/>
  <c r="AT62" i="1"/>
  <c r="AS62" i="1"/>
  <c r="AR6" i="1"/>
  <c r="AR8" i="1" s="1"/>
  <c r="AS6" i="1" l="1"/>
  <c r="X68" i="8"/>
  <c r="AN68" i="8"/>
  <c r="AN3" i="8"/>
  <c r="X3" i="8"/>
  <c r="N74" i="8"/>
  <c r="M74" i="8"/>
  <c r="L74" i="8"/>
  <c r="I74" i="8"/>
  <c r="H74" i="8"/>
  <c r="AY3" i="8"/>
  <c r="BA3" i="8"/>
  <c r="AW3" i="8"/>
  <c r="AU3" i="8"/>
  <c r="AS3" i="8"/>
  <c r="AQ3" i="8"/>
  <c r="AP3" i="8"/>
  <c r="AK68" i="8"/>
  <c r="AI68" i="8"/>
  <c r="AG68" i="8"/>
  <c r="AE68" i="8"/>
  <c r="AK64" i="8"/>
  <c r="AI64" i="8"/>
  <c r="AG64" i="8"/>
  <c r="AE64" i="8"/>
  <c r="AC68" i="8"/>
  <c r="AC64" i="8"/>
  <c r="W68" i="8"/>
  <c r="C68" i="8"/>
  <c r="T68" i="8"/>
  <c r="T3" i="8"/>
  <c r="AM74" i="8"/>
  <c r="AM68" i="8"/>
  <c r="AM64" i="8"/>
  <c r="AM3" i="8"/>
  <c r="AK3" i="8"/>
  <c r="AI3" i="8"/>
  <c r="AG3" i="8"/>
  <c r="AE3" i="8"/>
  <c r="AC3" i="8"/>
  <c r="AB3" i="8"/>
  <c r="W3" i="8"/>
  <c r="U74" i="8"/>
  <c r="AS8" i="1" l="1"/>
  <c r="AT6" i="1"/>
  <c r="AT8" i="1" l="1"/>
  <c r="AU6" i="1"/>
  <c r="AU8" i="1" s="1"/>
  <c r="AO68" i="8"/>
  <c r="AO3" i="8"/>
  <c r="U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I64" i="8"/>
  <c r="F68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U3" i="8"/>
  <c r="D3" i="8"/>
  <c r="E68" i="8"/>
  <c r="D68" i="8"/>
  <c r="AB68" i="8"/>
  <c r="C3" i="8"/>
  <c r="AN78" i="2"/>
  <c r="AL78" i="2"/>
  <c r="AL103" i="2" s="1"/>
  <c r="AL128" i="2" s="1"/>
  <c r="Y290" i="2"/>
  <c r="Y288" i="2"/>
  <c r="AN153" i="2"/>
  <c r="AJ178" i="2"/>
  <c r="AJ78" i="2"/>
  <c r="AG153" i="2"/>
  <c r="AG78" i="2"/>
  <c r="AG103" i="2" s="1"/>
  <c r="AG128" i="2" s="1"/>
  <c r="AG290" i="2"/>
  <c r="AG289" i="2"/>
  <c r="AG288" i="2"/>
  <c r="AE290" i="2"/>
  <c r="AD290" i="2"/>
  <c r="AE289" i="2"/>
  <c r="AD289" i="2"/>
  <c r="AE288" i="2"/>
  <c r="AD288" i="2"/>
  <c r="AE153" i="2"/>
  <c r="AD153" i="2"/>
  <c r="AE78" i="2"/>
  <c r="AE103" i="2" s="1"/>
  <c r="AE128" i="2" s="1"/>
  <c r="AD78" i="2"/>
  <c r="AA153" i="2"/>
  <c r="AA78" i="2"/>
  <c r="AA289" i="2"/>
  <c r="AB178" i="2"/>
  <c r="AB78" i="2"/>
  <c r="AB103" i="2" s="1"/>
  <c r="AB128" i="2" s="1"/>
  <c r="AB153" i="2" s="1"/>
  <c r="AJ80" i="2"/>
  <c r="X178" i="2"/>
  <c r="X78" i="2"/>
  <c r="X103" i="2" s="1"/>
  <c r="X128" i="2" s="1"/>
  <c r="X153" i="2" s="1"/>
  <c r="AA290" i="2"/>
  <c r="AA288" i="2"/>
  <c r="V8" i="2"/>
  <c r="F178" i="2"/>
  <c r="F203" i="2" s="1"/>
  <c r="F228" i="2" s="1"/>
  <c r="F253" i="2" s="1"/>
  <c r="F278" i="2" s="1"/>
  <c r="S241" i="2"/>
  <c r="AI180" i="2"/>
  <c r="AI205" i="2" s="1"/>
  <c r="AI80" i="2"/>
  <c r="N180" i="2"/>
  <c r="N205" i="2" s="1"/>
  <c r="N80" i="2"/>
  <c r="N105" i="2" s="1"/>
  <c r="N130" i="2" s="1"/>
  <c r="N155" i="2" s="1"/>
  <c r="AG280" i="2"/>
  <c r="AG255" i="2"/>
  <c r="AG230" i="2"/>
  <c r="AG205" i="2"/>
  <c r="AG180" i="2"/>
  <c r="AG80" i="2"/>
  <c r="AG105" i="2" s="1"/>
  <c r="AG130" i="2" s="1"/>
  <c r="AG155" i="2" s="1"/>
  <c r="L280" i="2"/>
  <c r="L255" i="2"/>
  <c r="L230" i="2"/>
  <c r="L205" i="2"/>
  <c r="L180" i="2"/>
  <c r="L80" i="2"/>
  <c r="L105" i="2" s="1"/>
  <c r="L130" i="2" s="1"/>
  <c r="L155" i="2" s="1"/>
  <c r="AN255" i="2"/>
  <c r="AN280" i="2" s="1"/>
  <c r="AN180" i="2"/>
  <c r="AN205" i="2" s="1"/>
  <c r="AN230" i="2" s="1"/>
  <c r="R280" i="2"/>
  <c r="S180" i="2"/>
  <c r="S205" i="2" s="1"/>
  <c r="S230" i="2" s="1"/>
  <c r="Q180" i="2"/>
  <c r="Q205" i="2" s="1"/>
  <c r="Q230" i="2" s="1"/>
  <c r="R255" i="2"/>
  <c r="R230" i="2"/>
  <c r="R205" i="2"/>
  <c r="R180" i="2"/>
  <c r="S80" i="2"/>
  <c r="S105" i="2" s="1"/>
  <c r="S130" i="2" s="1"/>
  <c r="S155" i="2" s="1"/>
  <c r="R80" i="2"/>
  <c r="R105" i="2" s="1"/>
  <c r="R130" i="2" s="1"/>
  <c r="R155" i="2" s="1"/>
  <c r="Q80" i="2"/>
  <c r="Q105" i="2" s="1"/>
  <c r="Q130" i="2" s="1"/>
  <c r="Q155" i="2" s="1"/>
  <c r="M155" i="2"/>
  <c r="M180" i="2" s="1"/>
  <c r="O80" i="2"/>
  <c r="O105" i="2" s="1"/>
  <c r="O130" i="2" s="1"/>
  <c r="O155" i="2" s="1"/>
  <c r="O180" i="2" s="1"/>
  <c r="M80" i="2"/>
  <c r="M105" i="2" s="1"/>
  <c r="M130" i="2" s="1"/>
  <c r="J280" i="2"/>
  <c r="I280" i="2"/>
  <c r="J255" i="2"/>
  <c r="I255" i="2"/>
  <c r="J230" i="2"/>
  <c r="I230" i="2"/>
  <c r="J205" i="2"/>
  <c r="I205" i="2"/>
  <c r="J180" i="2"/>
  <c r="I180" i="2"/>
  <c r="J80" i="2"/>
  <c r="J105" i="2" s="1"/>
  <c r="J130" i="2" s="1"/>
  <c r="J155" i="2" s="1"/>
  <c r="I80" i="2"/>
  <c r="I105" i="2" s="1"/>
  <c r="I130" i="2" s="1"/>
  <c r="I155" i="2" s="1"/>
  <c r="U80" i="2"/>
  <c r="U105" i="2" s="1"/>
  <c r="U130" i="2" s="1"/>
  <c r="U155" i="2" s="1"/>
  <c r="U153" i="2"/>
  <c r="U141" i="2"/>
  <c r="U78" i="2"/>
  <c r="U103" i="2" s="1"/>
  <c r="U128" i="2" s="1"/>
  <c r="U116" i="2"/>
  <c r="U91" i="2"/>
  <c r="U66" i="2"/>
  <c r="U32" i="2"/>
  <c r="U26" i="2"/>
  <c r="U8" i="2"/>
  <c r="AP80" i="2"/>
  <c r="AP26" i="2"/>
  <c r="AP105" i="2"/>
  <c r="AP130" i="2" s="1"/>
  <c r="AP155" i="2" s="1"/>
  <c r="AP153" i="2"/>
  <c r="AP141" i="2"/>
  <c r="AP78" i="2"/>
  <c r="AP103" i="2" s="1"/>
  <c r="AP128" i="2" s="1"/>
  <c r="AP116" i="2"/>
  <c r="AP91" i="2"/>
  <c r="AP66" i="2"/>
  <c r="AP32" i="2"/>
  <c r="AP8" i="2"/>
  <c r="T80" i="2"/>
  <c r="T105" i="2" s="1"/>
  <c r="T130" i="2" s="1"/>
  <c r="T155" i="2" s="1"/>
  <c r="T153" i="2"/>
  <c r="T141" i="2"/>
  <c r="T78" i="2"/>
  <c r="T103" i="2" s="1"/>
  <c r="T128" i="2" s="1"/>
  <c r="T116" i="2"/>
  <c r="T91" i="2"/>
  <c r="T66" i="2"/>
  <c r="T32" i="2"/>
  <c r="T26" i="2"/>
  <c r="T8" i="2"/>
  <c r="AO80" i="2"/>
  <c r="AO105" i="2" s="1"/>
  <c r="AO130" i="2" s="1"/>
  <c r="AO155" i="2" s="1"/>
  <c r="AO26" i="2"/>
  <c r="AO153" i="2"/>
  <c r="AO141" i="2"/>
  <c r="AO78" i="2"/>
  <c r="AO103" i="2" s="1"/>
  <c r="AO128" i="2" s="1"/>
  <c r="AO116" i="2"/>
  <c r="AO91" i="2"/>
  <c r="AO66" i="2"/>
  <c r="AO32" i="2"/>
  <c r="AO8" i="2"/>
  <c r="Q178" i="2"/>
  <c r="N178" i="2"/>
  <c r="N203" i="2" s="1"/>
  <c r="M153" i="2"/>
  <c r="M178" i="2" s="1"/>
  <c r="N191" i="2"/>
  <c r="M166" i="2"/>
  <c r="N166" i="2"/>
  <c r="M141" i="2"/>
  <c r="N153" i="2"/>
  <c r="M128" i="2"/>
  <c r="J266" i="2"/>
  <c r="J241" i="2"/>
  <c r="J216" i="2"/>
  <c r="J203" i="2"/>
  <c r="J191" i="2"/>
  <c r="J166" i="2"/>
  <c r="J153" i="2"/>
  <c r="J141" i="2"/>
  <c r="J128" i="2"/>
  <c r="J116" i="2"/>
  <c r="J103" i="2"/>
  <c r="J91" i="2"/>
  <c r="J78" i="2"/>
  <c r="J66" i="2"/>
  <c r="J26" i="2"/>
  <c r="F153" i="2"/>
  <c r="AK105" i="2"/>
  <c r="AK78" i="2"/>
  <c r="AK103" i="2" s="1"/>
  <c r="AK80" i="2"/>
  <c r="AK66" i="2"/>
  <c r="AK32" i="2"/>
  <c r="AK8" i="2"/>
  <c r="P105" i="2"/>
  <c r="P78" i="2"/>
  <c r="P103" i="2" s="1"/>
  <c r="P80" i="2"/>
  <c r="P66" i="2"/>
  <c r="P32" i="2"/>
  <c r="P8" i="2"/>
  <c r="N141" i="2"/>
  <c r="N128" i="2"/>
  <c r="N116" i="2"/>
  <c r="N103" i="2"/>
  <c r="N91" i="2"/>
  <c r="N78" i="2"/>
  <c r="N66" i="2"/>
  <c r="N32" i="2"/>
  <c r="N26" i="2"/>
  <c r="M116" i="2"/>
  <c r="M103" i="2"/>
  <c r="M91" i="2"/>
  <c r="M78" i="2"/>
  <c r="M66" i="2"/>
  <c r="M32" i="2"/>
  <c r="M26" i="2"/>
  <c r="S203" i="2"/>
  <c r="R203" i="2"/>
  <c r="Q203" i="2"/>
  <c r="L203" i="2"/>
  <c r="I203" i="2"/>
  <c r="R178" i="2"/>
  <c r="O178" i="2"/>
  <c r="G178" i="2"/>
  <c r="D178" i="2"/>
  <c r="C178" i="2"/>
  <c r="S153" i="2"/>
  <c r="R153" i="2"/>
  <c r="Q153" i="2"/>
  <c r="O153" i="2"/>
  <c r="L153" i="2"/>
  <c r="I153" i="2"/>
  <c r="G153" i="2"/>
  <c r="D153" i="2"/>
  <c r="C153" i="2"/>
  <c r="S128" i="2"/>
  <c r="R128" i="2"/>
  <c r="Q128" i="2"/>
  <c r="O128" i="2"/>
  <c r="L128" i="2"/>
  <c r="I128" i="2"/>
  <c r="G128" i="2"/>
  <c r="F128" i="2"/>
  <c r="E128" i="2"/>
  <c r="D128" i="2"/>
  <c r="C128" i="2"/>
  <c r="S103" i="2"/>
  <c r="R103" i="2"/>
  <c r="Q103" i="2"/>
  <c r="O103" i="2"/>
  <c r="L103" i="2"/>
  <c r="I103" i="2"/>
  <c r="G103" i="2"/>
  <c r="F103" i="2"/>
  <c r="E103" i="2"/>
  <c r="D103" i="2"/>
  <c r="C103" i="2"/>
  <c r="S78" i="2"/>
  <c r="R78" i="2"/>
  <c r="Q78" i="2"/>
  <c r="O78" i="2"/>
  <c r="L78" i="2"/>
  <c r="I78" i="2"/>
  <c r="G78" i="2"/>
  <c r="F78" i="2"/>
  <c r="E78" i="2"/>
  <c r="D78" i="2"/>
  <c r="C78" i="2"/>
  <c r="L266" i="2"/>
  <c r="L241" i="2"/>
  <c r="L216" i="2"/>
  <c r="L191" i="2"/>
  <c r="L166" i="2"/>
  <c r="L141" i="2"/>
  <c r="L116" i="2"/>
  <c r="L91" i="2"/>
  <c r="L66" i="2"/>
  <c r="L32" i="2"/>
  <c r="L26" i="2"/>
  <c r="O166" i="2"/>
  <c r="O141" i="2"/>
  <c r="O116" i="2"/>
  <c r="O91" i="2"/>
  <c r="O66" i="2"/>
  <c r="O32" i="2"/>
  <c r="S216" i="2"/>
  <c r="S191" i="2"/>
  <c r="S166" i="2"/>
  <c r="S141" i="2"/>
  <c r="S116" i="2"/>
  <c r="S91" i="2"/>
  <c r="S66" i="2"/>
  <c r="S32" i="2"/>
  <c r="S26" i="2"/>
  <c r="R266" i="2"/>
  <c r="R241" i="2"/>
  <c r="R216" i="2"/>
  <c r="R191" i="2"/>
  <c r="R166" i="2"/>
  <c r="R141" i="2"/>
  <c r="R116" i="2"/>
  <c r="R91" i="2"/>
  <c r="R66" i="2"/>
  <c r="R32" i="2"/>
  <c r="R26" i="2"/>
  <c r="Q241" i="2"/>
  <c r="Q216" i="2"/>
  <c r="Q191" i="2"/>
  <c r="Q166" i="2"/>
  <c r="Q141" i="2"/>
  <c r="Q116" i="2"/>
  <c r="Q91" i="2"/>
  <c r="Q66" i="2"/>
  <c r="Q32" i="2"/>
  <c r="Q26" i="2"/>
  <c r="I266" i="2"/>
  <c r="I241" i="2"/>
  <c r="I216" i="2"/>
  <c r="I191" i="2"/>
  <c r="I166" i="2"/>
  <c r="I141" i="2"/>
  <c r="I116" i="2"/>
  <c r="I91" i="2"/>
  <c r="I66" i="2"/>
  <c r="I32" i="2"/>
  <c r="I26" i="2"/>
  <c r="J32" i="2"/>
  <c r="S8" i="2"/>
  <c r="R8" i="2"/>
  <c r="Q8" i="2"/>
  <c r="O8" i="2"/>
  <c r="N8" i="2"/>
  <c r="M8" i="2"/>
  <c r="L8" i="2"/>
  <c r="J8" i="2"/>
  <c r="I8" i="2"/>
  <c r="X8" i="2"/>
  <c r="Y8" i="2"/>
  <c r="Z8" i="2"/>
  <c r="AA8" i="2"/>
  <c r="G8" i="2"/>
  <c r="F8" i="2"/>
  <c r="E8" i="2"/>
  <c r="D8" i="2"/>
  <c r="C8" i="2"/>
  <c r="F266" i="2"/>
  <c r="F241" i="2"/>
  <c r="F216" i="2"/>
  <c r="F191" i="2"/>
  <c r="G166" i="2"/>
  <c r="F166" i="2"/>
  <c r="D166" i="2"/>
  <c r="C166" i="2"/>
  <c r="G141" i="2"/>
  <c r="F141" i="2"/>
  <c r="D141" i="2"/>
  <c r="C141" i="2"/>
  <c r="G116" i="2"/>
  <c r="F116" i="2"/>
  <c r="E116" i="2"/>
  <c r="D116" i="2"/>
  <c r="C116" i="2"/>
  <c r="G91" i="2"/>
  <c r="F91" i="2"/>
  <c r="E91" i="2"/>
  <c r="D91" i="2"/>
  <c r="C91" i="2"/>
  <c r="G66" i="2"/>
  <c r="F66" i="2"/>
  <c r="E66" i="2"/>
  <c r="D66" i="2"/>
  <c r="C66" i="2"/>
  <c r="G32" i="2"/>
  <c r="F32" i="2"/>
  <c r="E32" i="2"/>
  <c r="D32" i="2"/>
  <c r="C32" i="2"/>
  <c r="F26" i="2"/>
  <c r="AN8" i="2"/>
  <c r="AM8" i="2"/>
  <c r="AL8" i="2"/>
  <c r="AJ8" i="2"/>
  <c r="AI8" i="2"/>
  <c r="AH8" i="2"/>
  <c r="AG8" i="2"/>
  <c r="AF8" i="2"/>
  <c r="AE8" i="2"/>
  <c r="AD8" i="2"/>
  <c r="AC8" i="2"/>
  <c r="AB8" i="2"/>
  <c r="AM280" i="2"/>
  <c r="AL280" i="2"/>
  <c r="AN278" i="2"/>
  <c r="AM278" i="2"/>
  <c r="AL278" i="2"/>
  <c r="AN266" i="2"/>
  <c r="AM266" i="2"/>
  <c r="AL266" i="2"/>
  <c r="AM255" i="2"/>
  <c r="AL255" i="2"/>
  <c r="AN253" i="2"/>
  <c r="AM253" i="2"/>
  <c r="AL253" i="2"/>
  <c r="AN241" i="2"/>
  <c r="AM241" i="2"/>
  <c r="AL241" i="2"/>
  <c r="AM230" i="2"/>
  <c r="AL230" i="2"/>
  <c r="AN228" i="2"/>
  <c r="AM228" i="2"/>
  <c r="AL228" i="2"/>
  <c r="AN216" i="2"/>
  <c r="AM216" i="2"/>
  <c r="AL216" i="2"/>
  <c r="AM205" i="2"/>
  <c r="AL205" i="2"/>
  <c r="AN203" i="2"/>
  <c r="AM203" i="2"/>
  <c r="AL203" i="2"/>
  <c r="AN191" i="2"/>
  <c r="AM191" i="2"/>
  <c r="AL191" i="2"/>
  <c r="AM180" i="2"/>
  <c r="AL180" i="2"/>
  <c r="AN178" i="2"/>
  <c r="AM178" i="2"/>
  <c r="AL178" i="2"/>
  <c r="AN166" i="2"/>
  <c r="AM166" i="2"/>
  <c r="AL166" i="2"/>
  <c r="AN80" i="2"/>
  <c r="AN105" i="2" s="1"/>
  <c r="AN130" i="2" s="1"/>
  <c r="AN155" i="2" s="1"/>
  <c r="AM80" i="2"/>
  <c r="AM105" i="2" s="1"/>
  <c r="AM130" i="2" s="1"/>
  <c r="AM155" i="2" s="1"/>
  <c r="AL80" i="2"/>
  <c r="AL105" i="2" s="1"/>
  <c r="AL130" i="2" s="1"/>
  <c r="AL155" i="2" s="1"/>
  <c r="AM153" i="2"/>
  <c r="AL153" i="2"/>
  <c r="AN141" i="2"/>
  <c r="AM141" i="2"/>
  <c r="AL141" i="2"/>
  <c r="AN103" i="2"/>
  <c r="AN128" i="2" s="1"/>
  <c r="AM78" i="2"/>
  <c r="AM103" i="2" s="1"/>
  <c r="AM128" i="2" s="1"/>
  <c r="AN116" i="2"/>
  <c r="AM116" i="2"/>
  <c r="AL116" i="2"/>
  <c r="AN91" i="2"/>
  <c r="AM91" i="2"/>
  <c r="AL91" i="2"/>
  <c r="AN66" i="2"/>
  <c r="AM66" i="2"/>
  <c r="AL66" i="2"/>
  <c r="AN32" i="2"/>
  <c r="AM32" i="2"/>
  <c r="AL32" i="2"/>
  <c r="AN26" i="2"/>
  <c r="AM26" i="2"/>
  <c r="AL26" i="2"/>
  <c r="AA26" i="2"/>
  <c r="AD26" i="2"/>
  <c r="AE26" i="2"/>
  <c r="AF26" i="2"/>
  <c r="AG26" i="2"/>
  <c r="AH26" i="2"/>
  <c r="AI26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Y78" i="2"/>
  <c r="Y103" i="2" s="1"/>
  <c r="Y128" i="2" s="1"/>
  <c r="Y153" i="2" s="1"/>
  <c r="Z78" i="2"/>
  <c r="Z103" i="2" s="1"/>
  <c r="AA103" i="2"/>
  <c r="AA128" i="2" s="1"/>
  <c r="AC78" i="2"/>
  <c r="AC103" i="2" s="1"/>
  <c r="AC128" i="2" s="1"/>
  <c r="AD103" i="2"/>
  <c r="AD128" i="2" s="1"/>
  <c r="AF78" i="2"/>
  <c r="AF103" i="2" s="1"/>
  <c r="AF128" i="2" s="1"/>
  <c r="AF153" i="2" s="1"/>
  <c r="AH78" i="2"/>
  <c r="AH103" i="2" s="1"/>
  <c r="AH128" i="2" s="1"/>
  <c r="AI78" i="2"/>
  <c r="AI103" i="2" s="1"/>
  <c r="AI128" i="2" s="1"/>
  <c r="AJ103" i="2"/>
  <c r="AJ128" i="2" s="1"/>
  <c r="AJ153" i="2" s="1"/>
  <c r="X80" i="2"/>
  <c r="X105" i="2" s="1"/>
  <c r="X130" i="2" s="1"/>
  <c r="X155" i="2" s="1"/>
  <c r="X180" i="2" s="1"/>
  <c r="Y80" i="2"/>
  <c r="Y105" i="2" s="1"/>
  <c r="Y130" i="2" s="1"/>
  <c r="Y155" i="2" s="1"/>
  <c r="Y180" i="2" s="1"/>
  <c r="Z80" i="2"/>
  <c r="Z105" i="2" s="1"/>
  <c r="Z130" i="2" s="1"/>
  <c r="AA80" i="2"/>
  <c r="AA105" i="2" s="1"/>
  <c r="AA130" i="2" s="1"/>
  <c r="AA155" i="2" s="1"/>
  <c r="AB80" i="2"/>
  <c r="AB105" i="2" s="1"/>
  <c r="AB130" i="2" s="1"/>
  <c r="AB155" i="2" s="1"/>
  <c r="AC80" i="2"/>
  <c r="AC105" i="2" s="1"/>
  <c r="AC130" i="2" s="1"/>
  <c r="AD80" i="2"/>
  <c r="AD105" i="2" s="1"/>
  <c r="AD130" i="2" s="1"/>
  <c r="AD155" i="2" s="1"/>
  <c r="AE80" i="2"/>
  <c r="AE105" i="2" s="1"/>
  <c r="AE130" i="2" s="1"/>
  <c r="AE155" i="2" s="1"/>
  <c r="AF80" i="2"/>
  <c r="AF105" i="2" s="1"/>
  <c r="AF130" i="2" s="1"/>
  <c r="AF155" i="2" s="1"/>
  <c r="AF180" i="2" s="1"/>
  <c r="AF205" i="2" s="1"/>
  <c r="AF230" i="2" s="1"/>
  <c r="AH80" i="2"/>
  <c r="AH105" i="2" s="1"/>
  <c r="AH130" i="2" s="1"/>
  <c r="AH155" i="2" s="1"/>
  <c r="AI105" i="2"/>
  <c r="AI130" i="2" s="1"/>
  <c r="AI155" i="2" s="1"/>
  <c r="AJ105" i="2"/>
  <c r="AJ130" i="2" s="1"/>
  <c r="AJ155" i="2" s="1"/>
  <c r="AJ180" i="2" s="1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Z128" i="2"/>
  <c r="X141" i="2"/>
  <c r="Y141" i="2"/>
  <c r="AA141" i="2"/>
  <c r="AB141" i="2"/>
  <c r="AD141" i="2"/>
  <c r="AE141" i="2"/>
  <c r="AF141" i="2"/>
  <c r="AG141" i="2"/>
  <c r="AH141" i="2"/>
  <c r="AI141" i="2"/>
  <c r="AJ141" i="2"/>
  <c r="AH153" i="2"/>
  <c r="AI153" i="2"/>
  <c r="X166" i="2"/>
  <c r="Y166" i="2"/>
  <c r="AA166" i="2"/>
  <c r="AB166" i="2"/>
  <c r="AD166" i="2"/>
  <c r="AE166" i="2"/>
  <c r="AF166" i="2"/>
  <c r="AG166" i="2"/>
  <c r="AH166" i="2"/>
  <c r="AI166" i="2"/>
  <c r="AJ166" i="2"/>
  <c r="Y178" i="2"/>
  <c r="AA178" i="2"/>
  <c r="AD178" i="2"/>
  <c r="AE178" i="2"/>
  <c r="AF178" i="2"/>
  <c r="AG178" i="2"/>
  <c r="AH178" i="2"/>
  <c r="AH203" i="2" s="1"/>
  <c r="AI178" i="2"/>
  <c r="AI203" i="2" s="1"/>
  <c r="AA180" i="2"/>
  <c r="AB180" i="2"/>
  <c r="AD180" i="2"/>
  <c r="AE180" i="2"/>
  <c r="AH180" i="2"/>
  <c r="AH205" i="2" s="1"/>
  <c r="AA191" i="2"/>
  <c r="AD191" i="2"/>
  <c r="AE191" i="2"/>
  <c r="AF191" i="2"/>
  <c r="AG191" i="2"/>
  <c r="AH191" i="2"/>
  <c r="AI191" i="2"/>
  <c r="AA203" i="2"/>
  <c r="AD203" i="2"/>
  <c r="AE203" i="2"/>
  <c r="AF203" i="2"/>
  <c r="AG203" i="2"/>
  <c r="AA205" i="2"/>
  <c r="AD205" i="2"/>
  <c r="AE205" i="2"/>
  <c r="AA216" i="2"/>
  <c r="AD216" i="2"/>
  <c r="AE216" i="2"/>
  <c r="AF216" i="2"/>
  <c r="AG216" i="2"/>
  <c r="AA228" i="2"/>
  <c r="AD228" i="2"/>
  <c r="AE228" i="2"/>
  <c r="AF228" i="2"/>
  <c r="AG228" i="2"/>
  <c r="AA230" i="2"/>
  <c r="AD230" i="2"/>
  <c r="AE230" i="2"/>
  <c r="AA241" i="2"/>
  <c r="AD241" i="2"/>
  <c r="AE241" i="2"/>
  <c r="AG241" i="2"/>
  <c r="AA253" i="2"/>
  <c r="AD253" i="2"/>
  <c r="AE253" i="2"/>
  <c r="AG253" i="2"/>
  <c r="AA255" i="2"/>
  <c r="AD255" i="2"/>
  <c r="AE255" i="2"/>
  <c r="AA266" i="2"/>
  <c r="AD266" i="2"/>
  <c r="AE266" i="2"/>
  <c r="AG266" i="2"/>
  <c r="AA278" i="2"/>
  <c r="AD278" i="2"/>
  <c r="AE278" i="2"/>
  <c r="AG278" i="2"/>
  <c r="AA280" i="2"/>
  <c r="AD280" i="2"/>
  <c r="AE280" i="2"/>
  <c r="D6" i="1"/>
  <c r="E6" i="1" s="1"/>
  <c r="E8" i="1" s="1"/>
  <c r="AG6" i="1"/>
  <c r="AH6" i="1" s="1"/>
  <c r="AI6" i="1" s="1"/>
  <c r="AJ6" i="1" s="1"/>
  <c r="AK6" i="1" s="1"/>
  <c r="C8" i="1"/>
  <c r="AQ8" i="1"/>
  <c r="AP32" i="1"/>
  <c r="AP33" i="1"/>
  <c r="AQ38" i="1"/>
  <c r="AQ39" i="1"/>
  <c r="AQ40" i="1"/>
  <c r="AQ41" i="1"/>
  <c r="C62" i="1"/>
  <c r="F62" i="1"/>
  <c r="F80" i="1" s="1"/>
  <c r="F84" i="1" s="1"/>
  <c r="G62" i="1"/>
  <c r="H62" i="1"/>
  <c r="I62" i="1"/>
  <c r="J62" i="1"/>
  <c r="J80" i="1" s="1"/>
  <c r="J84" i="1" s="1"/>
  <c r="K62" i="1"/>
  <c r="K80" i="1" s="1"/>
  <c r="K84" i="1" s="1"/>
  <c r="L62" i="1"/>
  <c r="L80" i="1" s="1"/>
  <c r="L84" i="1" s="1"/>
  <c r="M62" i="1"/>
  <c r="N62" i="1"/>
  <c r="N80" i="1" s="1"/>
  <c r="N84" i="1" s="1"/>
  <c r="O62" i="1"/>
  <c r="P62" i="1"/>
  <c r="P80" i="1" s="1"/>
  <c r="P84" i="1" s="1"/>
  <c r="Q62" i="1"/>
  <c r="Q80" i="1" s="1"/>
  <c r="Q84" i="1" s="1"/>
  <c r="R62" i="1"/>
  <c r="R80" i="1" s="1"/>
  <c r="R84" i="1" s="1"/>
  <c r="S62" i="1"/>
  <c r="T62" i="1"/>
  <c r="T80" i="1" s="1"/>
  <c r="T84" i="1" s="1"/>
  <c r="U62" i="1"/>
  <c r="V62" i="1"/>
  <c r="V80" i="1" s="1"/>
  <c r="V84" i="1" s="1"/>
  <c r="AQ62" i="1"/>
  <c r="V66" i="1"/>
  <c r="AM66" i="1"/>
  <c r="AN66" i="1"/>
  <c r="AO66" i="1"/>
  <c r="AP66" i="1"/>
  <c r="F73" i="1"/>
  <c r="F76" i="1" s="1"/>
  <c r="G73" i="1"/>
  <c r="G76" i="1" s="1"/>
  <c r="G74" i="1"/>
  <c r="G77" i="1" s="1"/>
  <c r="H73" i="1"/>
  <c r="H76" i="1" s="1"/>
  <c r="I73" i="1"/>
  <c r="I76" i="1" s="1"/>
  <c r="J73" i="1"/>
  <c r="J76" i="1" s="1"/>
  <c r="K73" i="1"/>
  <c r="K76" i="1" s="1"/>
  <c r="L73" i="1"/>
  <c r="L76" i="1" s="1"/>
  <c r="M73" i="1"/>
  <c r="M76" i="1" s="1"/>
  <c r="N73" i="1"/>
  <c r="N76" i="1" s="1"/>
  <c r="O73" i="1"/>
  <c r="O76" i="1" s="1"/>
  <c r="P73" i="1"/>
  <c r="P76" i="1" s="1"/>
  <c r="Q73" i="1"/>
  <c r="Q76" i="1" s="1"/>
  <c r="R73" i="1"/>
  <c r="R76" i="1" s="1"/>
  <c r="S73" i="1"/>
  <c r="S76" i="1" s="1"/>
  <c r="T73" i="1"/>
  <c r="T76" i="1" s="1"/>
  <c r="U73" i="1"/>
  <c r="U76" i="1" s="1"/>
  <c r="V73" i="1"/>
  <c r="V76" i="1" s="1"/>
  <c r="I74" i="1"/>
  <c r="I77" i="1" s="1"/>
  <c r="F75" i="1"/>
  <c r="F92" i="1" s="1"/>
  <c r="G75" i="1"/>
  <c r="G92" i="1" s="1"/>
  <c r="H75" i="1"/>
  <c r="H92" i="1" s="1"/>
  <c r="I75" i="1"/>
  <c r="I92" i="1" s="1"/>
  <c r="J75" i="1"/>
  <c r="J92" i="1" s="1"/>
  <c r="K75" i="1"/>
  <c r="K92" i="1" s="1"/>
  <c r="L75" i="1"/>
  <c r="L92" i="1" s="1"/>
  <c r="M75" i="1"/>
  <c r="M92" i="1" s="1"/>
  <c r="N75" i="1"/>
  <c r="N92" i="1" s="1"/>
  <c r="O75" i="1"/>
  <c r="O92" i="1" s="1"/>
  <c r="P75" i="1"/>
  <c r="P92" i="1" s="1"/>
  <c r="Q75" i="1"/>
  <c r="Q92" i="1" s="1"/>
  <c r="R75" i="1"/>
  <c r="R92" i="1" s="1"/>
  <c r="S75" i="1"/>
  <c r="S92" i="1" s="1"/>
  <c r="T75" i="1"/>
  <c r="T92" i="1" s="1"/>
  <c r="U75" i="1"/>
  <c r="U92" i="1" s="1"/>
  <c r="V75" i="1"/>
  <c r="V92" i="1" s="1"/>
  <c r="C77" i="1"/>
  <c r="C79" i="1" s="1"/>
  <c r="E77" i="1"/>
  <c r="E79" i="1" s="1"/>
  <c r="AQ77" i="1"/>
  <c r="AQ79" i="1" s="1"/>
  <c r="G80" i="1"/>
  <c r="G84" i="1" s="1"/>
  <c r="H80" i="1"/>
  <c r="H84" i="1" s="1"/>
  <c r="I80" i="1"/>
  <c r="I84" i="1" s="1"/>
  <c r="M80" i="1"/>
  <c r="M84" i="1" s="1"/>
  <c r="O80" i="1"/>
  <c r="O84" i="1" s="1"/>
  <c r="S80" i="1"/>
  <c r="S84" i="1" s="1"/>
  <c r="U80" i="1"/>
  <c r="U84" i="1" s="1"/>
  <c r="C84" i="1"/>
  <c r="E84" i="1"/>
  <c r="AQ84" i="1"/>
  <c r="C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AQ89" i="1"/>
  <c r="F96" i="1"/>
  <c r="F97" i="1"/>
  <c r="F98" i="1"/>
  <c r="G96" i="1"/>
  <c r="G97" i="1"/>
  <c r="G98" i="1"/>
  <c r="H96" i="1"/>
  <c r="H97" i="1"/>
  <c r="H98" i="1"/>
  <c r="I96" i="1"/>
  <c r="I97" i="1"/>
  <c r="I98" i="1"/>
  <c r="J96" i="1"/>
  <c r="J97" i="1"/>
  <c r="J98" i="1"/>
  <c r="K96" i="1"/>
  <c r="K97" i="1"/>
  <c r="K98" i="1"/>
  <c r="L96" i="1"/>
  <c r="L97" i="1"/>
  <c r="L98" i="1"/>
  <c r="M96" i="1"/>
  <c r="M97" i="1"/>
  <c r="M98" i="1"/>
  <c r="N96" i="1"/>
  <c r="N97" i="1"/>
  <c r="N98" i="1"/>
  <c r="O96" i="1"/>
  <c r="O97" i="1"/>
  <c r="O98" i="1"/>
  <c r="P96" i="1"/>
  <c r="P97" i="1"/>
  <c r="P98" i="1"/>
  <c r="Q96" i="1"/>
  <c r="Q97" i="1"/>
  <c r="Q98" i="1"/>
  <c r="R96" i="1"/>
  <c r="R97" i="1"/>
  <c r="R98" i="1"/>
  <c r="S96" i="1"/>
  <c r="S97" i="1"/>
  <c r="S98" i="1"/>
  <c r="T96" i="1"/>
  <c r="T97" i="1"/>
  <c r="T98" i="1"/>
  <c r="U96" i="1"/>
  <c r="U97" i="1"/>
  <c r="U98" i="1"/>
  <c r="V96" i="1"/>
  <c r="V97" i="1"/>
  <c r="V98" i="1"/>
  <c r="C92" i="1"/>
  <c r="E92" i="1"/>
  <c r="AQ92" i="1"/>
  <c r="S255" i="2"/>
  <c r="Q255" i="2"/>
  <c r="G78" i="1"/>
  <c r="F6" i="1"/>
  <c r="F8" i="1" s="1"/>
  <c r="AJ8" i="1"/>
  <c r="E3" i="8"/>
  <c r="F99" i="1" l="1"/>
  <c r="F100" i="1" s="1"/>
  <c r="F101" i="1" s="1"/>
  <c r="F102" i="1" s="1"/>
  <c r="F103" i="1" s="1"/>
  <c r="O99" i="1"/>
  <c r="O100" i="1" s="1"/>
  <c r="G6" i="1"/>
  <c r="G8" i="1" s="1"/>
  <c r="I78" i="1"/>
  <c r="AK8" i="1"/>
  <c r="AL6" i="1"/>
  <c r="M99" i="1"/>
  <c r="F74" i="1"/>
  <c r="F78" i="1" s="1"/>
  <c r="S74" i="1"/>
  <c r="S78" i="1" s="1"/>
  <c r="V99" i="1"/>
  <c r="V100" i="1" s="1"/>
  <c r="V101" i="1" s="1"/>
  <c r="V102" i="1" s="1"/>
  <c r="V103" i="1" s="1"/>
  <c r="U99" i="1"/>
  <c r="T99" i="1"/>
  <c r="T100" i="1" s="1"/>
  <c r="T101" i="1" s="1"/>
  <c r="T102" i="1" s="1"/>
  <c r="T103" i="1" s="1"/>
  <c r="R99" i="1"/>
  <c r="Q99" i="1"/>
  <c r="N99" i="1"/>
  <c r="N100" i="1" s="1"/>
  <c r="N101" i="1" s="1"/>
  <c r="N102" i="1" s="1"/>
  <c r="N103" i="1" s="1"/>
  <c r="L99" i="1"/>
  <c r="L100" i="1" s="1"/>
  <c r="L101" i="1" s="1"/>
  <c r="L102" i="1" s="1"/>
  <c r="L103" i="1" s="1"/>
  <c r="K99" i="1"/>
  <c r="K100" i="1" s="1"/>
  <c r="K101" i="1" s="1"/>
  <c r="K102" i="1" s="1"/>
  <c r="K103" i="1" s="1"/>
  <c r="K104" i="1" s="1"/>
  <c r="K105" i="1" s="1"/>
  <c r="K106" i="1" s="1"/>
  <c r="I99" i="1"/>
  <c r="I100" i="1" s="1"/>
  <c r="I101" i="1" s="1"/>
  <c r="R100" i="1"/>
  <c r="R101" i="1" s="1"/>
  <c r="R102" i="1" s="1"/>
  <c r="R103" i="1" s="1"/>
  <c r="R104" i="1" s="1"/>
  <c r="R105" i="1" s="1"/>
  <c r="R106" i="1" s="1"/>
  <c r="G79" i="1"/>
  <c r="P99" i="1"/>
  <c r="P100" i="1" s="1"/>
  <c r="J99" i="1"/>
  <c r="S99" i="1"/>
  <c r="S100" i="1" s="1"/>
  <c r="S101" i="1" s="1"/>
  <c r="S102" i="1" s="1"/>
  <c r="S103" i="1" s="1"/>
  <c r="S104" i="1" s="1"/>
  <c r="H99" i="1"/>
  <c r="H100" i="1" s="1"/>
  <c r="G99" i="1"/>
  <c r="G100" i="1" s="1"/>
  <c r="G101" i="1" s="1"/>
  <c r="G102" i="1" s="1"/>
  <c r="G103" i="1" s="1"/>
  <c r="U100" i="1"/>
  <c r="U101" i="1" s="1"/>
  <c r="U102" i="1" s="1"/>
  <c r="U103" i="1" s="1"/>
  <c r="L74" i="1"/>
  <c r="M100" i="1"/>
  <c r="M101" i="1" s="1"/>
  <c r="M102" i="1" s="1"/>
  <c r="M103" i="1" s="1"/>
  <c r="O101" i="1"/>
  <c r="O102" i="1" s="1"/>
  <c r="O103" i="1" s="1"/>
  <c r="I79" i="1"/>
  <c r="H101" i="1" l="1"/>
  <c r="H102" i="1" s="1"/>
  <c r="H103" i="1" s="1"/>
  <c r="H6" i="1"/>
  <c r="I6" i="1" s="1"/>
  <c r="F77" i="1"/>
  <c r="F79" i="1" s="1"/>
  <c r="I102" i="1"/>
  <c r="I103" i="1" s="1"/>
  <c r="AL8" i="1"/>
  <c r="AM6" i="1"/>
  <c r="S77" i="1"/>
  <c r="S79" i="1" s="1"/>
  <c r="Q100" i="1"/>
  <c r="Q101" i="1" s="1"/>
  <c r="Q102" i="1" s="1"/>
  <c r="Q103" i="1" s="1"/>
  <c r="J74" i="1"/>
  <c r="H8" i="1"/>
  <c r="S105" i="1"/>
  <c r="S106" i="1" s="1"/>
  <c r="S108" i="1" s="1"/>
  <c r="S91" i="1" s="1"/>
  <c r="S93" i="1" s="1"/>
  <c r="L104" i="1"/>
  <c r="L105" i="1" s="1"/>
  <c r="L106" i="1" s="1"/>
  <c r="L108" i="1" s="1"/>
  <c r="L91" i="1" s="1"/>
  <c r="N104" i="1"/>
  <c r="N105" i="1" s="1"/>
  <c r="N106" i="1" s="1"/>
  <c r="N108" i="1" s="1"/>
  <c r="N91" i="1" s="1"/>
  <c r="P101" i="1"/>
  <c r="P102" i="1" s="1"/>
  <c r="P103" i="1" s="1"/>
  <c r="P104" i="1" s="1"/>
  <c r="P105" i="1" s="1"/>
  <c r="P106" i="1" s="1"/>
  <c r="J100" i="1"/>
  <c r="J101" i="1" s="1"/>
  <c r="J102" i="1" s="1"/>
  <c r="J103" i="1" s="1"/>
  <c r="J104" i="1" s="1"/>
  <c r="J105" i="1" s="1"/>
  <c r="J106" i="1" s="1"/>
  <c r="J108" i="1" s="1"/>
  <c r="J91" i="1" s="1"/>
  <c r="G104" i="1"/>
  <c r="M104" i="1"/>
  <c r="R107" i="1"/>
  <c r="R108" i="1"/>
  <c r="R91" i="1" s="1"/>
  <c r="T104" i="1"/>
  <c r="T105" i="1" s="1"/>
  <c r="T106" i="1" s="1"/>
  <c r="T108" i="1" s="1"/>
  <c r="T91" i="1" s="1"/>
  <c r="V104" i="1"/>
  <c r="V105" i="1" s="1"/>
  <c r="V106" i="1" s="1"/>
  <c r="V108" i="1" s="1"/>
  <c r="V91" i="1" s="1"/>
  <c r="M74" i="1"/>
  <c r="I104" i="1"/>
  <c r="I105" i="1" s="1"/>
  <c r="I106" i="1" s="1"/>
  <c r="I108" i="1" s="1"/>
  <c r="I91" i="1" s="1"/>
  <c r="I93" i="1" s="1"/>
  <c r="U104" i="1"/>
  <c r="U105" i="1" s="1"/>
  <c r="U106" i="1" s="1"/>
  <c r="U108" i="1" s="1"/>
  <c r="U91" i="1" s="1"/>
  <c r="O104" i="1"/>
  <c r="O105" i="1" s="1"/>
  <c r="O106" i="1" s="1"/>
  <c r="O108" i="1" s="1"/>
  <c r="O91" i="1" s="1"/>
  <c r="H104" i="1"/>
  <c r="H105" i="1" s="1"/>
  <c r="H106" i="1" s="1"/>
  <c r="H108" i="1" s="1"/>
  <c r="H91" i="1" s="1"/>
  <c r="F104" i="1"/>
  <c r="F105" i="1" s="1"/>
  <c r="F106" i="1" s="1"/>
  <c r="L78" i="1"/>
  <c r="L77" i="1"/>
  <c r="K108" i="1"/>
  <c r="K91" i="1" s="1"/>
  <c r="K107" i="1"/>
  <c r="AN6" i="1" l="1"/>
  <c r="AM8" i="1"/>
  <c r="Q104" i="1"/>
  <c r="Q105" i="1" s="1"/>
  <c r="Q106" i="1" s="1"/>
  <c r="I8" i="1"/>
  <c r="J6" i="1"/>
  <c r="N74" i="1"/>
  <c r="P74" i="1"/>
  <c r="Q74" i="1"/>
  <c r="U74" i="1"/>
  <c r="R74" i="1"/>
  <c r="K74" i="1"/>
  <c r="O74" i="1"/>
  <c r="J78" i="1"/>
  <c r="J77" i="1"/>
  <c r="J79" i="1" s="1"/>
  <c r="J93" i="1" s="1"/>
  <c r="S107" i="1"/>
  <c r="N107" i="1"/>
  <c r="L79" i="1"/>
  <c r="L93" i="1" s="1"/>
  <c r="L107" i="1"/>
  <c r="P107" i="1"/>
  <c r="P108" i="1"/>
  <c r="P91" i="1" s="1"/>
  <c r="F107" i="1"/>
  <c r="F108" i="1"/>
  <c r="F91" i="1" s="1"/>
  <c r="F93" i="1" s="1"/>
  <c r="H74" i="1"/>
  <c r="V74" i="1"/>
  <c r="H107" i="1"/>
  <c r="O107" i="1"/>
  <c r="U107" i="1"/>
  <c r="I107" i="1"/>
  <c r="T107" i="1"/>
  <c r="M78" i="1"/>
  <c r="M77" i="1"/>
  <c r="J107" i="1"/>
  <c r="V107" i="1"/>
  <c r="M105" i="1"/>
  <c r="M106" i="1" s="1"/>
  <c r="M108" i="1" s="1"/>
  <c r="M91" i="1" s="1"/>
  <c r="G105" i="1"/>
  <c r="G106" i="1" s="1"/>
  <c r="G108" i="1" s="1"/>
  <c r="G91" i="1" s="1"/>
  <c r="G93" i="1" s="1"/>
  <c r="AO6" i="1" l="1"/>
  <c r="AN8" i="1"/>
  <c r="Q108" i="1"/>
  <c r="Q91" i="1" s="1"/>
  <c r="Q107" i="1"/>
  <c r="K78" i="1"/>
  <c r="K77" i="1"/>
  <c r="K79" i="1" s="1"/>
  <c r="K93" i="1" s="1"/>
  <c r="R77" i="1"/>
  <c r="R79" i="1" s="1"/>
  <c r="R93" i="1" s="1"/>
  <c r="R78" i="1"/>
  <c r="Q78" i="1"/>
  <c r="Q77" i="1"/>
  <c r="Q79" i="1" s="1"/>
  <c r="N77" i="1"/>
  <c r="N79" i="1" s="1"/>
  <c r="N93" i="1" s="1"/>
  <c r="N78" i="1"/>
  <c r="O78" i="1"/>
  <c r="O77" i="1"/>
  <c r="O79" i="1" s="1"/>
  <c r="O93" i="1" s="1"/>
  <c r="U77" i="1"/>
  <c r="U79" i="1" s="1"/>
  <c r="U93" i="1" s="1"/>
  <c r="U78" i="1"/>
  <c r="P78" i="1"/>
  <c r="P77" i="1"/>
  <c r="P79" i="1" s="1"/>
  <c r="P93" i="1" s="1"/>
  <c r="K6" i="1"/>
  <c r="J8" i="1"/>
  <c r="M79" i="1"/>
  <c r="V77" i="1"/>
  <c r="V78" i="1"/>
  <c r="T74" i="1"/>
  <c r="M107" i="1"/>
  <c r="H78" i="1"/>
  <c r="H77" i="1"/>
  <c r="M93" i="1"/>
  <c r="G107" i="1"/>
  <c r="AP6" i="1" l="1"/>
  <c r="AP8" i="1" s="1"/>
  <c r="AO8" i="1"/>
  <c r="K8" i="1"/>
  <c r="L6" i="1"/>
  <c r="Q93" i="1"/>
  <c r="V79" i="1"/>
  <c r="V93" i="1" s="1"/>
  <c r="H79" i="1"/>
  <c r="H93" i="1" s="1"/>
  <c r="T77" i="1"/>
  <c r="T78" i="1"/>
  <c r="L8" i="1" l="1"/>
  <c r="M6" i="1"/>
  <c r="T79" i="1"/>
  <c r="T93" i="1" s="1"/>
  <c r="M8" i="1" l="1"/>
  <c r="N6" i="1"/>
  <c r="O6" i="1" l="1"/>
  <c r="N8" i="1"/>
  <c r="O8" i="1" l="1"/>
  <c r="P6" i="1"/>
  <c r="Q6" i="1" l="1"/>
  <c r="P8" i="1"/>
  <c r="R6" i="1" l="1"/>
  <c r="Q8" i="1"/>
  <c r="R8" i="1" l="1"/>
  <c r="S6" i="1"/>
  <c r="S8" i="1" l="1"/>
  <c r="T6" i="1"/>
  <c r="T8" i="1" l="1"/>
  <c r="U6" i="1"/>
  <c r="V6" i="1" l="1"/>
  <c r="U8" i="1"/>
  <c r="V8" i="1" l="1"/>
  <c r="W6" i="1"/>
  <c r="X6" i="1" s="1"/>
  <c r="Y6" i="1" s="1"/>
  <c r="Z6" i="1" s="1"/>
  <c r="AA6" i="1" s="1"/>
  <c r="AB6" i="1" s="1"/>
  <c r="AC6" i="1" s="1"/>
  <c r="AD6" i="1" s="1"/>
  <c r="AE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A17" authorId="0" shapeId="0" xr:uid="{00000000-0006-0000-0200-000001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 xml:space="preserve">List in first pair of {} is for PLP0-PLP2. Second {} is for PLP4-7
</t>
        </r>
      </text>
    </comment>
    <comment ref="AD17" authorId="0" shapeId="0" xr:uid="{00000000-0006-0000-0200-000002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 xml:space="preserve">List in first pair of {} is for PLP0-PLP2. Second {} is for PLP4-7
</t>
        </r>
      </text>
    </comment>
    <comment ref="AE17" authorId="0" shapeId="0" xr:uid="{00000000-0006-0000-0200-000003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 xml:space="preserve">List in first pair of {} is for PLP0-PLP2. Second {} is for PLP4-7
</t>
        </r>
      </text>
    </comment>
    <comment ref="AF17" authorId="0" shapeId="0" xr:uid="{00000000-0006-0000-0200-000004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 xml:space="preserve">PLP0-PLP5
</t>
        </r>
      </text>
    </comment>
    <comment ref="AG17" authorId="0" shapeId="0" xr:uid="{00000000-0006-0000-0200-000005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 xml:space="preserve">List in first pair of {} is for PLP0-PLP2. Second {} is for PLP4-7
</t>
        </r>
      </text>
    </comment>
    <comment ref="AH17" authorId="0" shapeId="0" xr:uid="{00000000-0006-0000-0200-000006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List in first pair of {} is for PLP0-PLP2. Second {} is for PLP4-85</t>
        </r>
      </text>
    </comment>
    <comment ref="AI17" authorId="0" shapeId="0" xr:uid="{00000000-0006-0000-0200-000007000000}">
      <text>
        <r>
          <rPr>
            <b/>
            <sz val="8"/>
            <color indexed="8"/>
            <rFont val="Nimbus Roman No9 L"/>
            <family val="1"/>
          </rPr>
          <t xml:space="preserve">Chris Nokes:
</t>
        </r>
        <r>
          <rPr>
            <sz val="8"/>
            <color indexed="8"/>
            <rFont val="Nimbus Roman No9 L"/>
            <family val="1"/>
          </rPr>
          <t>List in first pair of {} is for PLP0-PLP2. Second {} is for PLP4-17</t>
        </r>
      </text>
    </comment>
    <comment ref="AL17" authorId="0" shapeId="0" xr:uid="{00000000-0006-0000-0200-000008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 xml:space="preserve">List in first pair of {} is for PLP0-PLP2. Second {} is for PLP4-7
</t>
        </r>
      </text>
    </comment>
    <comment ref="AM17" authorId="0" shapeId="0" xr:uid="{00000000-0006-0000-0200-000009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 xml:space="preserve">List in first pair of {} is for PLP0-PLP2. Second {} is for PLP4-7
</t>
        </r>
      </text>
    </comment>
    <comment ref="AN17" authorId="0" shapeId="0" xr:uid="{00000000-0006-0000-0200-00000A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 xml:space="preserve">List in first pair of {} is for PLP0-PLP2. Second {} is for PLP4-7
</t>
        </r>
      </text>
    </comment>
    <comment ref="AA18" authorId="0" shapeId="0" xr:uid="{00000000-0006-0000-0200-00000B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D18" authorId="0" shapeId="0" xr:uid="{00000000-0006-0000-0200-00000C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E18" authorId="0" shapeId="0" xr:uid="{00000000-0006-0000-0200-00000D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F18" authorId="0" shapeId="0" xr:uid="{00000000-0006-0000-0200-00000E000000}">
      <text>
        <r>
          <rPr>
            <sz val="8"/>
            <color indexed="8"/>
            <rFont val="Nimbus Roman No9 L"/>
            <family val="1"/>
          </rPr>
          <t xml:space="preserve">PLPs 0-5 all have only one chapter with run length of 1
</t>
        </r>
      </text>
    </comment>
    <comment ref="AG18" authorId="0" shapeId="0" xr:uid="{00000000-0006-0000-0200-00000F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H18" authorId="0" shapeId="0" xr:uid="{00000000-0006-0000-0200-000010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I18" authorId="0" shapeId="0" xr:uid="{00000000-0006-0000-0200-000011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L18" authorId="0" shapeId="0" xr:uid="{00000000-0006-0000-0200-000012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PLP0</t>
        </r>
      </text>
    </comment>
    <comment ref="AM18" authorId="0" shapeId="0" xr:uid="{00000000-0006-0000-0200-000013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PLP0</t>
        </r>
      </text>
    </comment>
    <comment ref="AN18" authorId="0" shapeId="0" xr:uid="{00000000-0006-0000-0200-000014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PLP0</t>
        </r>
      </text>
    </comment>
    <comment ref="AO18" authorId="0" shapeId="0" xr:uid="{00000000-0006-0000-0200-000015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P18" authorId="0" shapeId="0" xr:uid="{00000000-0006-0000-0200-000016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PLP0</t>
        </r>
      </text>
    </comment>
    <comment ref="AA19" authorId="0" shapeId="0" xr:uid="{00000000-0006-0000-0200-000017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D19" authorId="0" shapeId="0" xr:uid="{00000000-0006-0000-0200-000018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E19" authorId="0" shapeId="0" xr:uid="{00000000-0006-0000-0200-000019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G19" authorId="0" shapeId="0" xr:uid="{00000000-0006-0000-0200-00001A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H19" authorId="0" shapeId="0" xr:uid="{00000000-0006-0000-0200-00001B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I19" authorId="0" shapeId="0" xr:uid="{00000000-0006-0000-0200-00001C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L19" authorId="0" shapeId="0" xr:uid="{00000000-0006-0000-0200-00001D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M19" authorId="0" shapeId="0" xr:uid="{00000000-0006-0000-0200-00001E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N19" authorId="0" shapeId="0" xr:uid="{00000000-0006-0000-0200-00001F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O19" authorId="0" shapeId="0" xr:uid="{00000000-0006-0000-0200-000020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P19" authorId="0" shapeId="0" xr:uid="{00000000-0006-0000-0200-000021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 1</t>
        </r>
      </text>
    </comment>
    <comment ref="AA20" authorId="0" shapeId="0" xr:uid="{00000000-0006-0000-0200-000022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D20" authorId="0" shapeId="0" xr:uid="{00000000-0006-0000-0200-000023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E20" authorId="0" shapeId="0" xr:uid="{00000000-0006-0000-0200-000024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G20" authorId="0" shapeId="0" xr:uid="{00000000-0006-0000-0200-000025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H20" authorId="0" shapeId="0" xr:uid="{00000000-0006-0000-0200-000026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I20" authorId="0" shapeId="0" xr:uid="{00000000-0006-0000-0200-000027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L20" authorId="0" shapeId="0" xr:uid="{00000000-0006-0000-0200-000028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M20" authorId="0" shapeId="0" xr:uid="{00000000-0006-0000-0200-000029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N20" authorId="0" shapeId="0" xr:uid="{00000000-0006-0000-0200-00002A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O20" authorId="0" shapeId="0" xr:uid="{00000000-0006-0000-0200-00002B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P20" authorId="0" shapeId="0" xr:uid="{00000000-0006-0000-0200-00002C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PLP2</t>
        </r>
      </text>
    </comment>
    <comment ref="AA21" authorId="0" shapeId="0" xr:uid="{00000000-0006-0000-0200-00002D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PLPs 4-7 all have only one chapter with run length of 1</t>
        </r>
      </text>
    </comment>
    <comment ref="AD21" authorId="0" shapeId="0" xr:uid="{00000000-0006-0000-0200-00002E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PLPs 4-7 all have only one chapter with run length of 1</t>
        </r>
      </text>
    </comment>
    <comment ref="AE21" authorId="0" shapeId="0" xr:uid="{00000000-0006-0000-0200-00002F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PLPs 4-7 all have only one chapter with run length of 1</t>
        </r>
      </text>
    </comment>
    <comment ref="AG21" authorId="0" shapeId="0" xr:uid="{00000000-0006-0000-0200-000030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PLPs 4-7 all have only one chapter with run length of 1</t>
        </r>
      </text>
    </comment>
    <comment ref="AH21" authorId="0" shapeId="0" xr:uid="{00000000-0006-0000-0200-000031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PLPs 4-85 all have only one chapter with run length of 1</t>
        </r>
      </text>
    </comment>
    <comment ref="AI21" authorId="0" shapeId="0" xr:uid="{00000000-0006-0000-0200-000032000000}">
      <text>
        <r>
          <rPr>
            <b/>
            <sz val="8"/>
            <color indexed="8"/>
            <rFont val="Nimbus Roman No9 L"/>
            <family val="1"/>
          </rPr>
          <t xml:space="preserve">Chris Nokes:
</t>
        </r>
        <r>
          <rPr>
            <sz val="8"/>
            <color indexed="8"/>
            <rFont val="Nimbus Roman No9 L"/>
            <family val="1"/>
          </rPr>
          <t>PLPs 4-17 all have only one chapter with run length of 1</t>
        </r>
      </text>
    </comment>
    <comment ref="AL21" authorId="0" shapeId="0" xr:uid="{00000000-0006-0000-0200-000033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PLPs 4-7 all have only one chapter with run length of 1</t>
        </r>
      </text>
    </comment>
    <comment ref="AM21" authorId="0" shapeId="0" xr:uid="{00000000-0006-0000-0200-000034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PLPs 4-7 all have only one chapter with run length of 1</t>
        </r>
      </text>
    </comment>
    <comment ref="AN21" authorId="0" shapeId="0" xr:uid="{00000000-0006-0000-0200-000035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PLPs 4-7 all have only one chapter with run length of 1</t>
        </r>
      </text>
    </comment>
    <comment ref="AO21" authorId="0" shapeId="0" xr:uid="{00000000-0006-0000-0200-000036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PLPs 4-7 all have only one chapter with run length of 1</t>
        </r>
      </text>
    </comment>
    <comment ref="AP21" authorId="0" shapeId="0" xr:uid="{00000000-0006-0000-0200-000037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PLPs 4-7 all have only one chapter with run length of 1</t>
        </r>
      </text>
    </comment>
    <comment ref="K23" authorId="0" shapeId="0" xr:uid="{00000000-0006-0000-0200-000038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T23" authorId="0" shapeId="0" xr:uid="{00000000-0006-0000-0200-000039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U23" authorId="0" shapeId="0" xr:uid="{00000000-0006-0000-0200-00003A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AA23" authorId="0" shapeId="0" xr:uid="{00000000-0006-0000-0200-00003B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AD23" authorId="0" shapeId="0" xr:uid="{00000000-0006-0000-0200-00003C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AE23" authorId="0" shapeId="0" xr:uid="{00000000-0006-0000-0200-00003D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AF23" authorId="0" shapeId="0" xr:uid="{00000000-0006-0000-0200-00003E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AG23" authorId="0" shapeId="0" xr:uid="{00000000-0006-0000-0200-00003F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AL23" authorId="0" shapeId="0" xr:uid="{00000000-0006-0000-0200-000040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Ideally a whole superframe would be generated but the chapter definitions currently cover 8 frames</t>
        </r>
      </text>
    </comment>
    <comment ref="AM23" authorId="0" shapeId="0" xr:uid="{00000000-0006-0000-0200-000041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Ideally a whole superframe would be generated but the chapter definitions currently cover 8 frames</t>
        </r>
      </text>
    </comment>
    <comment ref="AN23" authorId="0" shapeId="0" xr:uid="{00000000-0006-0000-0200-000042000000}">
      <text>
        <r>
          <rPr>
            <b/>
            <sz val="8"/>
            <color indexed="8"/>
            <rFont val="Times New Roman"/>
            <family val="1"/>
          </rPr>
          <t xml:space="preserve">Oliver Haffenden:
</t>
        </r>
        <r>
          <rPr>
            <sz val="8"/>
            <color indexed="8"/>
            <rFont val="Times New Roman"/>
            <family val="1"/>
          </rPr>
          <t>Ideally a whole superframe would be generated but the chapter definitions currently cover 8 frames</t>
        </r>
      </text>
    </comment>
    <comment ref="AO23" authorId="0" shapeId="0" xr:uid="{00000000-0006-0000-0200-000043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AP23" authorId="0" shapeId="0" xr:uid="{00000000-0006-0000-0200-000044000000}">
      <text>
        <r>
          <rPr>
            <b/>
            <sz val="8"/>
            <color indexed="8"/>
            <rFont val="Nimbus Roman No9 L"/>
            <family val="1"/>
          </rPr>
          <t xml:space="preserve">Oliver Haffenden:
</t>
        </r>
        <r>
          <rPr>
            <sz val="8"/>
            <color indexed="8"/>
            <rFont val="Nimbus Roman No9 L"/>
            <family val="1"/>
          </rPr>
          <t>Ideally a whole superframe would be generated but the chapter definitions currently cover 8 frames</t>
        </r>
      </text>
    </comment>
    <comment ref="K47" authorId="0" shapeId="0" xr:uid="{00000000-0006-0000-0200-000045000000}">
      <text>
        <r>
          <rPr>
            <b/>
            <sz val="8"/>
            <color indexed="8"/>
            <rFont val="Nimbus Roman No9 L"/>
            <family val="1"/>
          </rPr>
          <t xml:space="preserve">Chris Nokes:
</t>
        </r>
        <r>
          <rPr>
            <sz val="8"/>
            <color indexed="8"/>
            <rFont val="Nimbus Roman No9 L"/>
            <family val="1"/>
          </rPr>
          <t>The AUX parameters are just for signalling, and apply to all 5 aux's. No aux streams are inserted.</t>
        </r>
      </text>
    </comment>
    <comment ref="AF47" authorId="0" shapeId="0" xr:uid="{00000000-0006-0000-0200-000046000000}">
      <text>
        <r>
          <rPr>
            <b/>
            <sz val="8"/>
            <color indexed="8"/>
            <rFont val="Nimbus Roman No9 L"/>
            <family val="1"/>
          </rPr>
          <t xml:space="preserve">Chris Nokes:
</t>
        </r>
        <r>
          <rPr>
            <sz val="8"/>
            <color indexed="8"/>
            <rFont val="Nimbus Roman No9 L"/>
            <family val="1"/>
          </rPr>
          <t>The AUX parameters are just for signalling, and apply to all 5 aux's. No aux streams are inserted.</t>
        </r>
      </text>
    </comment>
  </commentList>
</comments>
</file>

<file path=xl/sharedStrings.xml><?xml version="1.0" encoding="utf-8"?>
<sst xmlns="http://schemas.openxmlformats.org/spreadsheetml/2006/main" count="4408" uniqueCount="515">
  <si>
    <t>Date, Author (Company)</t>
  </si>
  <si>
    <t xml:space="preserve">last update : </t>
  </si>
  <si>
    <t>Parameter</t>
  </si>
  <si>
    <t>Explanation</t>
  </si>
  <si>
    <t>Number</t>
  </si>
  <si>
    <t>Mnemonic</t>
  </si>
  <si>
    <t>CR35</t>
  </si>
  <si>
    <t>CR23</t>
  </si>
  <si>
    <t>8KFFT</t>
  </si>
  <si>
    <t>16KFFT</t>
  </si>
  <si>
    <t>4KFFT</t>
  </si>
  <si>
    <t>2KFFT</t>
  </si>
  <si>
    <t>1KFFT</t>
  </si>
  <si>
    <t>64QAM45</t>
  </si>
  <si>
    <t>64QAM56</t>
  </si>
  <si>
    <t>64QAM34</t>
  </si>
  <si>
    <t>256QAM34</t>
  </si>
  <si>
    <t>PAPRTR</t>
  </si>
  <si>
    <t>MISO</t>
  </si>
  <si>
    <t>NOROT</t>
  </si>
  <si>
    <t>FEF</t>
  </si>
  <si>
    <t>DTG016</t>
  </si>
  <si>
    <t>DTG052</t>
  </si>
  <si>
    <t>DTG091</t>
  </si>
  <si>
    <t>DTG167</t>
  </si>
  <si>
    <t>DTG168</t>
  </si>
  <si>
    <t>V121</t>
  </si>
  <si>
    <t>TXSIGFEF</t>
  </si>
  <si>
    <t>TXSIGAUX</t>
  </si>
  <si>
    <t>VV Reference</t>
  </si>
  <si>
    <t>Note: Figures in red indicate differences from BBC35 parameters. Blank spaces indicate the use BBC35 parameters.</t>
  </si>
  <si>
    <t>BBC modulator parameters for code rate 3/5 (OFCOM mode 4)</t>
  </si>
  <si>
    <t>BBC modulator parameters for code rate 2/3 (OFCOM mode 7)</t>
  </si>
  <si>
    <t>Test different FFTSIZE, GI, PP. Time Interleaver Type 1</t>
  </si>
  <si>
    <t>8KFFT, PP8</t>
  </si>
  <si>
    <t>Test different FFTSIZE, GI, PP. Time Interleaver type 2</t>
  </si>
  <si>
    <t>18KFFT, PP8, Extended Bandwith</t>
  </si>
  <si>
    <t>PP6</t>
  </si>
  <si>
    <t>OFCOM mode 2</t>
  </si>
  <si>
    <t>OFCOM mode 3</t>
  </si>
  <si>
    <t>OFCOM Mode1</t>
  </si>
  <si>
    <t>OFCOM mode 5</t>
  </si>
  <si>
    <t>OFCOM Mode 6</t>
  </si>
  <si>
    <t>Test tone reservations</t>
  </si>
  <si>
    <t>Use MISO</t>
  </si>
  <si>
    <t>No rotated constellations</t>
  </si>
  <si>
    <t>No time interleaving</t>
  </si>
  <si>
    <t>Normal mode</t>
  </si>
  <si>
    <t>7MHz</t>
  </si>
  <si>
    <t>FEF 60ms</t>
  </si>
  <si>
    <t>FEF 100ms</t>
  </si>
  <si>
    <t>As VV037, but V1.2.1. spec</t>
  </si>
  <si>
    <t>Same as VV038 but with TXSIG at the end of the FEF part</t>
  </si>
  <si>
    <t>Same as VV001 but with TxSig in auxiliary stream</t>
  </si>
  <si>
    <t>Overall</t>
  </si>
  <si>
    <t>Length</t>
  </si>
  <si>
    <t>V&amp;V minimum of one T2 frame</t>
  </si>
  <si>
    <t>2 T2 Superframes</t>
  </si>
  <si>
    <t>PLP</t>
  </si>
  <si>
    <t>Single</t>
  </si>
  <si>
    <t>FFTSIZE</t>
  </si>
  <si>
    <t>32K</t>
  </si>
  <si>
    <t>8K</t>
  </si>
  <si>
    <t>16K</t>
  </si>
  <si>
    <t>4K</t>
  </si>
  <si>
    <t>2K</t>
  </si>
  <si>
    <t>1K</t>
  </si>
  <si>
    <t>GI</t>
  </si>
  <si>
    <t>1/128</t>
  </si>
  <si>
    <t>19/256</t>
  </si>
  <si>
    <t>1/16</t>
  </si>
  <si>
    <t>1/4</t>
  </si>
  <si>
    <t>19/128</t>
  </si>
  <si>
    <t>1/32</t>
  </si>
  <si>
    <t>1/8</t>
  </si>
  <si>
    <t>Data Symbols</t>
  </si>
  <si>
    <t>Including frame closing symbol (if present)</t>
  </si>
  <si>
    <t>SISO/MISO</t>
  </si>
  <si>
    <t>SISO</t>
  </si>
  <si>
    <t>PAPR</t>
  </si>
  <si>
    <t>None</t>
  </si>
  <si>
    <t>TR</t>
  </si>
  <si>
    <t>P2-TR only</t>
  </si>
  <si>
    <t>Null packet deletion</t>
  </si>
  <si>
    <t>Frames per superframe</t>
  </si>
  <si>
    <t>Bandwidth</t>
  </si>
  <si>
    <t>8MHz</t>
  </si>
  <si>
    <t>Extended Carrier Mode</t>
  </si>
  <si>
    <t>Yes</t>
  </si>
  <si>
    <t>No</t>
  </si>
  <si>
    <t>Pilot Pattern</t>
  </si>
  <si>
    <t>PP7</t>
  </si>
  <si>
    <t>PP5</t>
  </si>
  <si>
    <t>PP8</t>
  </si>
  <si>
    <t>PP1</t>
  </si>
  <si>
    <t>PP2</t>
  </si>
  <si>
    <t>PP3</t>
  </si>
  <si>
    <t>PP4</t>
  </si>
  <si>
    <t>L1 Modulation</t>
  </si>
  <si>
    <t>64QAM</t>
  </si>
  <si>
    <t>16QAM</t>
  </si>
  <si>
    <t>QPSK</t>
  </si>
  <si>
    <t>BPSK</t>
  </si>
  <si>
    <t>Sub Slices per Frame</t>
  </si>
  <si>
    <t>Not required in Single PLP</t>
  </si>
  <si>
    <t>FEF Type</t>
  </si>
  <si>
    <t>FEF Length</t>
  </si>
  <si>
    <t>FEF Interval</t>
  </si>
  <si>
    <t>FEF P1: S1 Value</t>
  </si>
  <si>
    <t>FEF P1: S2 Value</t>
  </si>
  <si>
    <t>FEF contents</t>
  </si>
  <si>
    <t>Waveform in FEF part: NULL, PRBS or TxSig</t>
  </si>
  <si>
    <t>NULL</t>
  </si>
  <si>
    <t>PRBS</t>
  </si>
  <si>
    <t>PRBS+TxSig</t>
  </si>
  <si>
    <t>TxSig FEF ID1</t>
  </si>
  <si>
    <t>Range: 0...7</t>
  </si>
  <si>
    <t>TxSig FEF ID2</t>
  </si>
  <si>
    <t>L1 Repetition</t>
  </si>
  <si>
    <t>Repetition of the dynamic signalling</t>
  </si>
  <si>
    <t>Number of PLPs</t>
  </si>
  <si>
    <t>Number of RFs</t>
  </si>
  <si>
    <t>Number of AUXs</t>
  </si>
  <si>
    <t>TxSig AUX P</t>
  </si>
  <si>
    <t>TxSig AUX Q</t>
  </si>
  <si>
    <t>TxSig AUX R</t>
  </si>
  <si>
    <t>TxSig AUX ID</t>
  </si>
  <si>
    <t>Spec version</t>
  </si>
  <si>
    <t>1.1.1</t>
  </si>
  <si>
    <t>1.2.1</t>
  </si>
  <si>
    <t>Vclip</t>
  </si>
  <si>
    <t>for TR</t>
  </si>
  <si>
    <t>Number of PAPR-TR iterations</t>
  </si>
  <si>
    <t>Vclip (ACE)</t>
  </si>
  <si>
    <t>L1_ACE_MAX</t>
  </si>
  <si>
    <t>PLP 0</t>
  </si>
  <si>
    <t>PLP_ID</t>
  </si>
  <si>
    <t>Type</t>
  </si>
  <si>
    <t>Modulation</t>
  </si>
  <si>
    <t>256QAM</t>
  </si>
  <si>
    <t>Rate</t>
  </si>
  <si>
    <t>3/5</t>
  </si>
  <si>
    <t>2/3</t>
  </si>
  <si>
    <t>3/4</t>
  </si>
  <si>
    <t>5/6</t>
  </si>
  <si>
    <t>4/5</t>
  </si>
  <si>
    <t>FEC Type</t>
  </si>
  <si>
    <t>Rotated QAM</t>
  </si>
  <si>
    <t>FEC blocks per interleaving frame</t>
  </si>
  <si>
    <t>Comma-separated list gives the number of blocks in each Interleaving Frame</t>
  </si>
  <si>
    <t>Max FEC blocks per interleaving frame</t>
  </si>
  <si>
    <t>Value for configurable signalling. May exceed the max value used</t>
  </si>
  <si>
    <t>TI blocks per frame (N_TI)</t>
  </si>
  <si>
    <t>derived parameter</t>
  </si>
  <si>
    <t>T2 frames per Interleaving Frame (P_I)</t>
  </si>
  <si>
    <t>Frame Interval  (I_JUMP)</t>
  </si>
  <si>
    <t>Type of time-interleaving</t>
  </si>
  <si>
    <t>Time Interleaving Length</t>
  </si>
  <si>
    <t>Input stage</t>
  </si>
  <si>
    <t>Mode</t>
  </si>
  <si>
    <t>HEM</t>
  </si>
  <si>
    <t>NORMAL</t>
  </si>
  <si>
    <t>NM</t>
  </si>
  <si>
    <t>ISSY</t>
  </si>
  <si>
    <t>Yes(long)</t>
  </si>
  <si>
    <t>BUFS</t>
  </si>
  <si>
    <t>Design delay (samples)</t>
  </si>
  <si>
    <t>Not required in Single PLP (I.G. 7.7.3.1)</t>
  </si>
  <si>
    <t>In Band Signalling</t>
  </si>
  <si>
    <t>Type B</t>
  </si>
  <si>
    <t>Number of other PLPs in-band signalling</t>
  </si>
  <si>
    <t>Derived Parameters</t>
  </si>
  <si>
    <t>P2 Symbols</t>
  </si>
  <si>
    <t>Frame Closing Symbol</t>
  </si>
  <si>
    <t>FEC blocks in each T2 frame</t>
  </si>
  <si>
    <t>67 + 67 + 68 =</t>
  </si>
  <si>
    <t>Available active carriers (P2)</t>
  </si>
  <si>
    <t>Available active carriers (Normal)</t>
  </si>
  <si>
    <t>Available active carriers (FCS)</t>
  </si>
  <si>
    <t>Total Available active carriers (check)</t>
  </si>
  <si>
    <t>Max number of FEC blocks in a TI block PLP#0</t>
  </si>
  <si>
    <t>Max number of FEC blocks in a TI block PLP#1</t>
  </si>
  <si>
    <t>Max number of FEC blocks in a TI block PLP#2</t>
  </si>
  <si>
    <t>Max number of FEC blocks in a TI block PLP#3</t>
  </si>
  <si>
    <t>Num of cells per TI block PLP#0</t>
  </si>
  <si>
    <t>68 * 64800 / 8 =</t>
  </si>
  <si>
    <t>Num of cells per TI block PLP#1</t>
  </si>
  <si>
    <t>Num of cells per TI block PLP#2</t>
  </si>
  <si>
    <t>Num of cells per TI block PLP#3</t>
  </si>
  <si>
    <t>Num of cells per TI blocks of MaxData &amp; Common PLP</t>
  </si>
  <si>
    <t>Check: max 2^19+2^15 cells for a TI Block</t>
  </si>
  <si>
    <t xml:space="preserve">L1 pre </t>
  </si>
  <si>
    <t>1840 cells</t>
  </si>
  <si>
    <t xml:space="preserve">L1 post </t>
  </si>
  <si>
    <t>250 cells</t>
  </si>
  <si>
    <t xml:space="preserve">Data cells </t>
  </si>
  <si>
    <t xml:space="preserve">202 * 8100 = </t>
  </si>
  <si>
    <t xml:space="preserve">Dummy cells </t>
  </si>
  <si>
    <t xml:space="preserve">(= 1639268 – 1840 – 250 – 1636200) </t>
  </si>
  <si>
    <t xml:space="preserve">Elementary period T </t>
  </si>
  <si>
    <t>7/64 µs</t>
  </si>
  <si>
    <t>L1 Post Configurable</t>
  </si>
  <si>
    <t>L1 Post Dynamic</t>
  </si>
  <si>
    <t>L1 Repetision</t>
  </si>
  <si>
    <t>Total bits of L1 Post</t>
  </si>
  <si>
    <t>Npost_FEC_Block</t>
  </si>
  <si>
    <t>K_L1_PADDING</t>
  </si>
  <si>
    <t>K_post</t>
  </si>
  <si>
    <t>K_sig</t>
  </si>
  <si>
    <t>Npunc_temp</t>
  </si>
  <si>
    <t>Npost_temp</t>
  </si>
  <si>
    <t>Npost</t>
  </si>
  <si>
    <t>Npunc</t>
  </si>
  <si>
    <t>N_MOD_per_Block</t>
  </si>
  <si>
    <t>MPLP1</t>
  </si>
  <si>
    <t>RATE56</t>
  </si>
  <si>
    <t>2GRPS</t>
  </si>
  <si>
    <t>PI2</t>
  </si>
  <si>
    <t>5MHZ</t>
  </si>
  <si>
    <t>RES</t>
  </si>
  <si>
    <t>EXT</t>
  </si>
  <si>
    <t>ALG-TST</t>
  </si>
  <si>
    <t>BIASCELLS</t>
  </si>
  <si>
    <t>L1-ACE</t>
  </si>
  <si>
    <t>L1-ACE2</t>
  </si>
  <si>
    <t>L1REP</t>
  </si>
  <si>
    <t>Note: Figures in red indicate differences from VV400 parameters.</t>
  </si>
  <si>
    <t>Basic MPLP stream proposal (4 services)</t>
  </si>
  <si>
    <t>Max bit rate variant</t>
  </si>
  <si>
    <t>Min bit rate variant</t>
  </si>
  <si>
    <t>Complex case with 2 groups of PLPs, Ijump=4 and FEFs</t>
  </si>
  <si>
    <t>Similar to basic MPLP stream but with Pi=2 for common PLP</t>
  </si>
  <si>
    <t>Min bit rate variant at 5 MHz</t>
  </si>
  <si>
    <t>Like VV403, but 16K, testing effect of using L1 reserved bits for bias balancing</t>
  </si>
  <si>
    <t>Like VV406, but using extension field as well</t>
  </si>
  <si>
    <t>A special to test the bias bit-setting algorithm</t>
  </si>
  <si>
    <t>Like VV403, but using bias balancing cells as well</t>
  </si>
  <si>
    <t>Uses the "video" from VV403, but adds many low-rate PLPs to test L1-ACE</t>
  </si>
  <si>
    <t>Similar to VV410, but some changes to test L1-ACE and bias balancing cells together</t>
  </si>
  <si>
    <t>Same as VV400 but with L1-repetition and in-band type B</t>
  </si>
  <si>
    <t>Input stream definition</t>
  </si>
  <si>
    <t>Input stream generation model</t>
  </si>
  <si>
    <t>Dynamic multiple PLP</t>
  </si>
  <si>
    <t>Input TS rate</t>
  </si>
  <si>
    <t>Mbit/s</t>
  </si>
  <si>
    <t>25.95, 1.17</t>
  </si>
  <si>
    <t>25.95, 4.8</t>
  </si>
  <si>
    <t>25.95, 0.8</t>
  </si>
  <si>
    <t>M</t>
  </si>
  <si>
    <t>Common slot interval</t>
  </si>
  <si>
    <t>L</t>
  </si>
  <si>
    <t>Number of chapters</t>
  </si>
  <si>
    <t>N_EIT</t>
  </si>
  <si>
    <t>Number of successive EIT packets</t>
  </si>
  <si>
    <t>NumReps</t>
  </si>
  <si>
    <t>Repeats of repeating unit</t>
  </si>
  <si>
    <t>35,35,35,18,18,35</t>
  </si>
  <si>
    <t>70,35,35,70,70,70</t>
  </si>
  <si>
    <t>4,2,2,2,2,9</t>
  </si>
  <si>
    <t>{216,10,44,108,54},        {146}</t>
  </si>
  <si>
    <t>43,21,22,43,130</t>
  </si>
  <si>
    <t>17,9,8,17,35</t>
  </si>
  <si>
    <t>{216,10,44,108,54},        {20}</t>
  </si>
  <si>
    <t>RunLength(TS0)</t>
  </si>
  <si>
    <t>Run length for each TS</t>
  </si>
  <si>
    <t>26,0,26,26,26,26</t>
  </si>
  <si>
    <t>62,29,62,62,29,29</t>
  </si>
  <si>
    <t>25,0,25,25,25</t>
  </si>
  <si>
    <t>36,0,36,36,10</t>
  </si>
  <si>
    <t>14,8,14,8,11</t>
  </si>
  <si>
    <t>RunLength(TS1)</t>
  </si>
  <si>
    <t>in each repeating unit</t>
  </si>
  <si>
    <t>29,62,29,29,62,62</t>
  </si>
  <si>
    <t>5,25,0,10,0</t>
  </si>
  <si>
    <t>5,36,0,10,5</t>
  </si>
  <si>
    <t>8,14,9,14,11</t>
  </si>
  <si>
    <t>RunLength(TS2)</t>
  </si>
  <si>
    <t>in a chapter</t>
  </si>
  <si>
    <t>5,10,10,0,10</t>
  </si>
  <si>
    <t>RunLength(TS3)</t>
  </si>
  <si>
    <t>15,12,16,9,7,15</t>
  </si>
  <si>
    <t>4 frames</t>
  </si>
  <si>
    <t>7 frames</t>
  </si>
  <si>
    <t>Multiple</t>
  </si>
  <si>
    <t>P2-TR &amp; L1-ACE only</t>
  </si>
  <si>
    <t>5MHz</t>
  </si>
  <si>
    <t>in samples</t>
  </si>
  <si>
    <t>Null</t>
  </si>
  <si>
    <t>AUX_CONFIG_RFU</t>
  </si>
  <si>
    <t>AUX_STREAM_TYPE</t>
  </si>
  <si>
    <t>AUX_PRIVATE_CONF</t>
  </si>
  <si>
    <t>0xFFFFFFF</t>
  </si>
  <si>
    <t>AUX_PRIVATE_DYN</t>
  </si>
  <si>
    <t>0xFFFFFFFFFFFF</t>
  </si>
  <si>
    <t>infinity</t>
  </si>
  <si>
    <t>L1 Extension Present?</t>
  </si>
  <si>
    <t>L1 Extension Block Type</t>
  </si>
  <si>
    <t>L1 Extension Data Length</t>
  </si>
  <si>
    <t>L1 Bias balancing cells present?</t>
  </si>
  <si>
    <t>Number of Active L1 Bias balancing cells (per P2)</t>
  </si>
  <si>
    <t>PLP_GROUP_ID</t>
  </si>
  <si>
    <t>dynamic</t>
  </si>
  <si>
    <t>First frame index</t>
  </si>
  <si>
    <t>Type A</t>
  </si>
  <si>
    <t>Types A and B</t>
  </si>
  <si>
    <t>Number  of NULL packets inserted each time (p)</t>
  </si>
  <si>
    <t>Frequency of NULL packets insertion in packets (q)</t>
  </si>
  <si>
    <t>PLP 1</t>
  </si>
  <si>
    <t>PLP 2</t>
  </si>
  <si>
    <t>PLP 3</t>
  </si>
  <si>
    <t>PLP 4</t>
  </si>
  <si>
    <t>4..85</t>
  </si>
  <si>
    <t>4..17</t>
  </si>
  <si>
    <t>PLP 5</t>
  </si>
  <si>
    <t>(PLP 86)</t>
  </si>
  <si>
    <t>PLP 6</t>
  </si>
  <si>
    <t>PLP 7</t>
  </si>
  <si>
    <t>PLP 8</t>
  </si>
  <si>
    <t>Dynamic Block Numbers</t>
  </si>
  <si>
    <t>PLP_GROUP_0</t>
  </si>
  <si>
    <t>Total FEC blocks common PLP</t>
  </si>
  <si>
    <t>Total FEC blocks type 1</t>
  </si>
  <si>
    <t>Total FEC blocks type 2</t>
  </si>
  <si>
    <t>Max FEC blocks per PLP type 1</t>
  </si>
  <si>
    <t>Max FEC blocks per PLP type 2</t>
  </si>
  <si>
    <t>PLP_GROUP_1</t>
  </si>
  <si>
    <t>SIMP-2GRPS</t>
  </si>
  <si>
    <t>NO-FEF</t>
  </si>
  <si>
    <t>IJUMP1</t>
  </si>
  <si>
    <t>Like VV403, no FEF, and Ijump=1</t>
  </si>
  <si>
    <t>Like VV403, but no FEF</t>
  </si>
  <si>
    <t>Like VV403, but Ijump=1</t>
  </si>
  <si>
    <t>29.55, 1.25</t>
  </si>
  <si>
    <t>1 super-frame</t>
  </si>
  <si>
    <t>RV-MPLP1</t>
  </si>
  <si>
    <t>RV-RATE56</t>
  </si>
  <si>
    <t>RV-QPSK</t>
  </si>
  <si>
    <t>RV-2GRPS</t>
  </si>
  <si>
    <t>RV-PI2</t>
  </si>
  <si>
    <t>VV400.ts</t>
  </si>
  <si>
    <t>VV402.ts</t>
  </si>
  <si>
    <t>VV404.ts</t>
  </si>
  <si>
    <t>Input one big TS file</t>
  </si>
  <si>
    <t>PLP 9</t>
  </si>
  <si>
    <t>(PLP 5..86)</t>
  </si>
  <si>
    <t>(PLP 5..18)</t>
  </si>
  <si>
    <t>16(PLP1-3) ,5 (PLP5-8)</t>
  </si>
  <si>
    <t>5(PLP1-3), 1(PLP 5-8)</t>
  </si>
  <si>
    <t>16(PLP1-3),
83 (PLP5-86)</t>
  </si>
  <si>
    <t>5(PLP1-3),
1(PLP 5-86)</t>
  </si>
  <si>
    <t>16(PLP1-3),
15 (PLP5-18)</t>
  </si>
  <si>
    <t>5(PLP1-3),
1(PLP 5-18)</t>
  </si>
  <si>
    <t>Like VV453, but 16K, testing effect of using L1 reserved bits for bias balancing</t>
  </si>
  <si>
    <t>Like VV456, but using extension field as well</t>
  </si>
  <si>
    <t>Like VV453, but using bias balancing cells as well</t>
  </si>
  <si>
    <t>Uses the "video" from VV453, but adds many low-rate PLPs to test L1-ACE</t>
  </si>
  <si>
    <t>Similar to VV460, but some changes to test L1-ACE and bias balancing cells together</t>
  </si>
  <si>
    <t>Same as VV450 but with L1-repetition and in-band type B</t>
  </si>
  <si>
    <t>RV-RES</t>
  </si>
  <si>
    <t>RV-EXT</t>
  </si>
  <si>
    <t>RV-BIASCELLS</t>
  </si>
  <si>
    <t>RV-L1-ACE</t>
  </si>
  <si>
    <t>RV-L1-ACE2</t>
  </si>
  <si>
    <t>RV-L1REP</t>
  </si>
  <si>
    <t>RV-SIMP-2GRPS</t>
  </si>
  <si>
    <t>RV-NO-FEF</t>
  </si>
  <si>
    <t>RV-IJUMP1</t>
  </si>
  <si>
    <t>2 static PLPs. One for HD, one for several SD programs</t>
    <phoneticPr fontId="21" type="noConversion"/>
  </si>
  <si>
    <t>Static M-PLP</t>
    <phoneticPr fontId="21" type="noConversion"/>
  </si>
  <si>
    <t>19/128</t>
    <phoneticPr fontId="21" type="noConversion"/>
  </si>
  <si>
    <t>SISO</t>
    <phoneticPr fontId="21" type="noConversion"/>
  </si>
  <si>
    <t>No</t>
    <phoneticPr fontId="21" type="noConversion"/>
  </si>
  <si>
    <t>PP3</t>
    <phoneticPr fontId="21" type="noConversion"/>
  </si>
  <si>
    <t>16QAM</t>
    <phoneticPr fontId="21" type="noConversion"/>
  </si>
  <si>
    <t>3/5</t>
    <phoneticPr fontId="21" type="noConversion"/>
  </si>
  <si>
    <t>RV-MBSTATIC</t>
  </si>
  <si>
    <t>29.55, ??</t>
  </si>
  <si>
    <t>VV401_v2.ts</t>
  </si>
  <si>
    <t>MBSTATIC</t>
  </si>
  <si>
    <t>MPLP-MISO</t>
  </si>
  <si>
    <t>16(PLP1-3)</t>
  </si>
  <si>
    <t>5(PLP1-3)</t>
  </si>
  <si>
    <t>216,10,44,108,54</t>
  </si>
  <si>
    <t>Videos from VV403 but frame structure more like VV400 and modified to allow MISO to be added</t>
  </si>
  <si>
    <t>Videos from VV403 but frame structure from VV400 to allow NM to be tested</t>
  </si>
  <si>
    <t>RV-MPLP-MISO</t>
  </si>
  <si>
    <t>RV-NM</t>
  </si>
  <si>
    <t>29.55, ??</t>
    <phoneticPr fontId="21" type="noConversion"/>
  </si>
  <si>
    <t>2 static PLPs. One for HD, one for 3 multiplexed SD programs</t>
    <phoneticPr fontId="21" type="noConversion"/>
  </si>
  <si>
    <t>(PLP 4..85)</t>
  </si>
  <si>
    <t>(PLP 19)</t>
  </si>
  <si>
    <t>1,26,0,1,6,6</t>
  </si>
  <si>
    <t>14,12,7,2,6,6</t>
  </si>
  <si>
    <t>2,5,10,14,5,5</t>
  </si>
  <si>
    <t>RV-MBSTATIC-MISO</t>
  </si>
  <si>
    <t>2 static PLPs. One for HD, one for 3 multiplexed SD programs with MISO</t>
  </si>
  <si>
    <t>Static M-PLP</t>
  </si>
  <si>
    <t>Max Cells Per T2 Frame</t>
  </si>
  <si>
    <t>Common PLPs</t>
  </si>
  <si>
    <t>Type 1 PLPs</t>
  </si>
  <si>
    <t>Type 2 PLPs</t>
  </si>
  <si>
    <t>Pseudo Fixed Frame Structure</t>
  </si>
  <si>
    <t>Use Max Cells Per T2 Frame for scheduling</t>
  </si>
  <si>
    <t>(PLP 87)</t>
  </si>
  <si>
    <t>6 frames</t>
  </si>
  <si>
    <t>1.3.1</t>
  </si>
  <si>
    <t>v1.2.1 compatible signal but using v1.3.1 signaling</t>
  </si>
  <si>
    <t>T2_SISO</t>
  </si>
  <si>
    <t>T2_LITE_SISO</t>
  </si>
  <si>
    <t>256Q13</t>
  </si>
  <si>
    <t>64Q13</t>
  </si>
  <si>
    <t>16Q13</t>
  </si>
  <si>
    <t>4Q13</t>
  </si>
  <si>
    <t>256Q25</t>
  </si>
  <si>
    <t>64Q25</t>
  </si>
  <si>
    <t>16Q25</t>
  </si>
  <si>
    <t>4Q25</t>
  </si>
  <si>
    <t>L1PSCR1</t>
  </si>
  <si>
    <t>L1PSCR2</t>
  </si>
  <si>
    <t>L1PSCR3</t>
  </si>
  <si>
    <t>L1PSCR4</t>
  </si>
  <si>
    <t>BBC2</t>
  </si>
  <si>
    <t>T2_LITE_MISO</t>
  </si>
  <si>
    <t>Note: Figures in red indicate differences from VV800 parameters. Blank spaces indicate that parameter is not set.</t>
  </si>
  <si>
    <t>8KFFT, T2_LITE_SISO and different modcod and FEF</t>
  </si>
  <si>
    <t>4KFFT, T2_LITE_SISO and different modcod and FEF</t>
  </si>
  <si>
    <t>2KFFT, T2_LITE_SISO and different modcod and FEF</t>
  </si>
  <si>
    <t>FEF Waveform: NULL, PRBS or TxSig</t>
  </si>
  <si>
    <t>Required in v1.3.1</t>
  </si>
  <si>
    <t>32k</t>
  </si>
  <si>
    <t>8k</t>
  </si>
  <si>
    <t>1/2</t>
  </si>
  <si>
    <t>YES</t>
  </si>
  <si>
    <t>NO</t>
  </si>
  <si>
    <t>L1_POST_SCRAMBLED</t>
  </si>
  <si>
    <t>compatability with T2-Lite</t>
  </si>
  <si>
    <t>T2_BASE_LITE</t>
  </si>
  <si>
    <t>T2-Lite mobile signal</t>
  </si>
  <si>
    <t>Bitrate (bps)</t>
  </si>
  <si>
    <t>T2_BASE</t>
  </si>
  <si>
    <t>T2_LITE</t>
  </si>
  <si>
    <t>T2_BASE/T2_LITE</t>
  </si>
  <si>
    <t>1/3</t>
  </si>
  <si>
    <t>2/5</t>
  </si>
  <si>
    <t>COMPAT2</t>
  </si>
  <si>
    <t>Note: PLP_GROUP_ID = PLP_ID</t>
  </si>
  <si>
    <t>Reserved Bits Bias Balancing used?</t>
  </si>
  <si>
    <t>Code Rate =1/3</t>
  </si>
  <si>
    <t>Code Rate =2/5</t>
  </si>
  <si>
    <t>Long FEF, L1 post scrambling</t>
  </si>
  <si>
    <t>16K2</t>
  </si>
  <si>
    <t>800COMP</t>
  </si>
  <si>
    <t>801COMP</t>
  </si>
  <si>
    <t>804COMP</t>
  </si>
  <si>
    <t>807COMP</t>
  </si>
  <si>
    <t>812COMP</t>
  </si>
  <si>
    <t>815COMP</t>
  </si>
  <si>
    <t>818COMP</t>
  </si>
  <si>
    <t>16K signal T2-Lite signal</t>
  </si>
  <si>
    <t>Complementary stream of VV800</t>
  </si>
  <si>
    <t>Complementary stream of VV801</t>
  </si>
  <si>
    <t>Complementary stream of VV804</t>
  </si>
  <si>
    <t>Complementary stream of VV807</t>
  </si>
  <si>
    <t>Complementary stream of VV812</t>
  </si>
  <si>
    <t>Complementary stream of VV815</t>
  </si>
  <si>
    <t>Complementary stream of VV818.HD like signal using v1.3.1 signaling</t>
  </si>
  <si>
    <t>MUL</t>
  </si>
  <si>
    <t>MUL1</t>
  </si>
  <si>
    <t>MUL2</t>
  </si>
  <si>
    <t>MUL3</t>
  </si>
  <si>
    <t>MUL4</t>
  </si>
  <si>
    <t>MUL6</t>
  </si>
  <si>
    <t>Combined VV800 (first) and VV825. Only output TP19.</t>
  </si>
  <si>
    <t>Combined VV801 (first) and VV826. Only output TP19.</t>
  </si>
  <si>
    <t>Combined VV804(first) and VV829. Only output TP19.</t>
  </si>
  <si>
    <t>Combined VV807 (first) and VV832. Only output TP19.</t>
  </si>
  <si>
    <t>Combined VV818 (first) and VV843. Only output TP19.</t>
  </si>
  <si>
    <t>Combined VV815 (first) and VV840. Only output TP19.</t>
  </si>
  <si>
    <t>MUL5</t>
  </si>
  <si>
    <t>Combined VV812 (first) and VV837. Only output TP19.</t>
  </si>
  <si>
    <t>VV403A_v5.ts;
VV403B_v5.ts</t>
  </si>
  <si>
    <t>VV403A_v5.ts;</t>
  </si>
  <si>
    <t>VV403A_v5.ts;
PRBS</t>
  </si>
  <si>
    <t>M-PLP</t>
  </si>
  <si>
    <t>BIGL1FEC</t>
  </si>
  <si>
    <t>Type A and B</t>
  </si>
  <si>
    <t>last update : 2/2/2012, Lachlan Michael (Sony)</t>
  </si>
  <si>
    <t>L1PSCR</t>
  </si>
  <si>
    <t>Simple T2-Lite case with L1scrambling</t>
  </si>
  <si>
    <t>More than 1 L1 post FEC block and L1 post scrambling to test reset of scrambling</t>
  </si>
  <si>
    <t>M-PLP: Two Type 2 PLPs with the same parameters as below. PLP_ID is 0 for PLP0 and 1 for PLP1</t>
  </si>
  <si>
    <r>
      <t>9,44,</t>
    </r>
    <r>
      <rPr>
        <sz val="10"/>
        <color rgb="FFFF0000"/>
        <rFont val="Arial"/>
        <family val="2"/>
      </rPr>
      <t>11</t>
    </r>
    <r>
      <rPr>
        <sz val="10"/>
        <rFont val="Arial"/>
        <family val="2"/>
      </rPr>
      <t>,10,12,16</t>
    </r>
  </si>
  <si>
    <r>
      <t>16,</t>
    </r>
    <r>
      <rPr>
        <sz val="10"/>
        <color rgb="FFFF0000"/>
        <rFont val="Arial"/>
        <family val="2"/>
      </rPr>
      <t>3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>11</t>
    </r>
    <r>
      <rPr>
        <sz val="10"/>
        <rFont val="Arial"/>
        <family val="2"/>
      </rPr>
      <t>,0,44,16</t>
    </r>
  </si>
  <si>
    <r>
      <t>23,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>,25,44,0,16</t>
    </r>
  </si>
  <si>
    <r>
      <t>5,25,0,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>5</t>
    </r>
  </si>
  <si>
    <r>
      <t>5,10,10,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>5</t>
    </r>
  </si>
  <si>
    <r>
      <t>10,10,0,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,4</t>
    </r>
  </si>
  <si>
    <r>
      <t>4,9,19,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>,36</t>
    </r>
  </si>
  <si>
    <t>6/2/2012, Lachlan Michael (Sony)</t>
  </si>
  <si>
    <t>T2_MISO</t>
  </si>
  <si>
    <t>Similar to basic MPLP stream but with Pi=2 for common PLP. Note 1 superframe is skipped in output of V&amp;V stream</t>
  </si>
  <si>
    <t>ACE</t>
  </si>
  <si>
    <t>Based on VV003 but with ACE enabled  and rotcon disabled</t>
  </si>
  <si>
    <t>Gain G (ACE)</t>
  </si>
  <si>
    <t>L_ext_limit (ACE)</t>
  </si>
  <si>
    <t>ACE64QAM</t>
  </si>
  <si>
    <t>Based on VV004 with ACE and no rotation. Tests 64QAM and frame-closing symbols</t>
  </si>
  <si>
    <t>ACE16QAM</t>
  </si>
  <si>
    <t>VV007 with ACE</t>
  </si>
  <si>
    <t>1.70 (4.6dB)</t>
  </si>
  <si>
    <t>2.09 (6.4dB)</t>
  </si>
  <si>
    <t>VV011 with ACE</t>
  </si>
  <si>
    <t>ACEQPSK</t>
  </si>
  <si>
    <t>1.36 (2.7dB)</t>
  </si>
  <si>
    <t>13/01/2020, Ollie Haffenden (BBC)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</si>
</sst>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0.0"/>
    <numFmt numFmtId="166" formatCode="#\ ???/???"/>
    <numFmt numFmtId="167" formatCode="0000"/>
    <numFmt numFmtId="168" formatCode="00"/>
  </numFmts>
  <fonts count="4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2"/>
      <name val="ＭＳ Ｐゴシック"/>
      <family val="3"/>
      <charset val="128"/>
    </font>
    <font>
      <b/>
      <sz val="8"/>
      <color indexed="8"/>
      <name val="Nimbus Roman No9 L"/>
      <family val="1"/>
    </font>
    <font>
      <sz val="8"/>
      <color indexed="8"/>
      <name val="Nimbus Roman No9 L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2"/>
      <color indexed="23"/>
      <name val="Arial"/>
      <family val="2"/>
    </font>
    <font>
      <sz val="10"/>
      <color indexed="23"/>
      <name val="Arial"/>
      <family val="2"/>
    </font>
    <font>
      <sz val="11"/>
      <name val="Arial"/>
      <family val="2"/>
    </font>
    <font>
      <sz val="6"/>
      <name val="ＭＳ Ｐゴシック"/>
      <family val="3"/>
      <charset val="128"/>
    </font>
    <font>
      <sz val="10"/>
      <color rgb="FFFF0000"/>
      <name val="Arial"/>
      <family val="2"/>
    </font>
    <font>
      <sz val="10"/>
      <name val="Arial Unicode MS"/>
      <family val="3"/>
      <charset val="128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2" borderId="1" applyNumberFormat="0" applyAlignment="0" applyProtection="0"/>
    <xf numFmtId="0" fontId="4" fillId="2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34" fillId="0" borderId="0"/>
    <xf numFmtId="0" fontId="34" fillId="4" borderId="4" applyNumberFormat="0" applyAlignment="0" applyProtection="0"/>
    <xf numFmtId="0" fontId="9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9" applyNumberFormat="0" applyAlignment="0" applyProtection="0"/>
  </cellStyleXfs>
  <cellXfs count="147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2" fontId="0" fillId="0" borderId="0" xfId="0" quotePrefix="1" applyNumberFormat="1" applyFill="1" applyBorder="1" applyAlignment="1" applyProtection="1">
      <alignment horizontal="center"/>
    </xf>
    <xf numFmtId="0" fontId="0" fillId="19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>
      <alignment horizontal="right"/>
    </xf>
    <xf numFmtId="164" fontId="2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wrapText="1"/>
    </xf>
    <xf numFmtId="0" fontId="21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wrapText="1"/>
    </xf>
    <xf numFmtId="0" fontId="22" fillId="4" borderId="0" xfId="0" applyNumberFormat="1" applyFont="1" applyFill="1" applyBorder="1" applyAlignment="1" applyProtection="1"/>
    <xf numFmtId="0" fontId="23" fillId="4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31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wrapText="1"/>
    </xf>
    <xf numFmtId="0" fontId="0" fillId="2" borderId="0" xfId="0" applyNumberForma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12" fontId="0" fillId="0" borderId="0" xfId="0" applyNumberFormat="1" applyFont="1" applyFill="1" applyBorder="1" applyAlignment="1" applyProtection="1">
      <alignment horizontal="center"/>
    </xf>
    <xf numFmtId="12" fontId="0" fillId="0" borderId="0" xfId="0" applyNumberFormat="1" applyAlignment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2" fillId="4" borderId="0" xfId="0" applyNumberFormat="1" applyFont="1" applyFill="1" applyBorder="1" applyAlignment="1" applyProtection="1">
      <alignment horizontal="left"/>
    </xf>
    <xf numFmtId="0" fontId="23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6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/>
    </xf>
    <xf numFmtId="0" fontId="25" fillId="2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0" xfId="31" applyNumberFormat="1" applyFont="1" applyFill="1" applyBorder="1" applyAlignment="1" applyProtection="1"/>
    <xf numFmtId="0" fontId="34" fillId="0" borderId="0" xfId="31"/>
    <xf numFmtId="0" fontId="34" fillId="0" borderId="0" xfId="31" applyNumberFormat="1" applyFill="1" applyBorder="1" applyAlignment="1" applyProtection="1"/>
    <xf numFmtId="0" fontId="0" fillId="0" borderId="0" xfId="31" applyNumberFormat="1" applyFont="1" applyFill="1" applyBorder="1" applyAlignment="1" applyProtection="1">
      <alignment horizontal="right"/>
    </xf>
    <xf numFmtId="0" fontId="0" fillId="0" borderId="0" xfId="31" applyFont="1" applyBorder="1"/>
    <xf numFmtId="0" fontId="17" fillId="0" borderId="0" xfId="31" applyNumberFormat="1" applyFont="1" applyFill="1" applyBorder="1" applyAlignment="1" applyProtection="1"/>
    <xf numFmtId="0" fontId="18" fillId="0" borderId="0" xfId="31" applyNumberFormat="1" applyFont="1" applyFill="1" applyBorder="1" applyAlignment="1" applyProtection="1">
      <alignment horizontal="center"/>
    </xf>
    <xf numFmtId="0" fontId="20" fillId="0" borderId="0" xfId="31" applyNumberFormat="1" applyFont="1" applyFill="1" applyBorder="1" applyAlignment="1" applyProtection="1">
      <alignment horizontal="center"/>
    </xf>
    <xf numFmtId="0" fontId="19" fillId="0" borderId="0" xfId="31" applyNumberFormat="1" applyFont="1" applyFill="1" applyBorder="1" applyAlignment="1" applyProtection="1">
      <alignment horizontal="center"/>
    </xf>
    <xf numFmtId="164" fontId="17" fillId="0" borderId="0" xfId="31" applyNumberFormat="1" applyFont="1" applyFill="1" applyBorder="1" applyAlignment="1" applyProtection="1"/>
    <xf numFmtId="164" fontId="17" fillId="0" borderId="0" xfId="31" applyNumberFormat="1" applyFont="1" applyFill="1" applyBorder="1" applyAlignment="1" applyProtection="1">
      <alignment horizontal="right"/>
    </xf>
    <xf numFmtId="164" fontId="20" fillId="0" borderId="0" xfId="31" applyNumberFormat="1" applyFont="1" applyFill="1" applyBorder="1" applyAlignment="1" applyProtection="1">
      <alignment horizontal="center"/>
    </xf>
    <xf numFmtId="0" fontId="0" fillId="0" borderId="0" xfId="31" applyFont="1"/>
    <xf numFmtId="0" fontId="17" fillId="0" borderId="0" xfId="31" applyNumberFormat="1" applyFont="1" applyFill="1" applyBorder="1" applyAlignment="1" applyProtection="1">
      <alignment horizontal="right"/>
    </xf>
    <xf numFmtId="1" fontId="34" fillId="0" borderId="0" xfId="31" applyNumberFormat="1"/>
    <xf numFmtId="0" fontId="0" fillId="0" borderId="0" xfId="31" applyFont="1" applyAlignment="1">
      <alignment wrapText="1"/>
    </xf>
    <xf numFmtId="0" fontId="21" fillId="0" borderId="0" xfId="31" applyNumberFormat="1" applyFont="1" applyFill="1" applyBorder="1" applyAlignment="1" applyProtection="1">
      <alignment horizontal="left" wrapText="1"/>
    </xf>
    <xf numFmtId="0" fontId="22" fillId="4" borderId="0" xfId="31" applyNumberFormat="1" applyFont="1" applyFill="1" applyBorder="1" applyAlignment="1" applyProtection="1"/>
    <xf numFmtId="0" fontId="23" fillId="4" borderId="0" xfId="31" applyNumberFormat="1" applyFont="1" applyFill="1" applyBorder="1" applyAlignment="1" applyProtection="1"/>
    <xf numFmtId="0" fontId="0" fillId="4" borderId="0" xfId="31" applyNumberFormat="1" applyFont="1" applyFill="1" applyBorder="1" applyAlignment="1" applyProtection="1">
      <alignment horizontal="center"/>
    </xf>
    <xf numFmtId="0" fontId="23" fillId="0" borderId="0" xfId="31" applyNumberFormat="1" applyFont="1" applyFill="1" applyBorder="1" applyAlignment="1" applyProtection="1"/>
    <xf numFmtId="0" fontId="0" fillId="0" borderId="0" xfId="31" applyNumberFormat="1" applyFont="1" applyFill="1" applyBorder="1" applyAlignment="1" applyProtection="1">
      <alignment horizontal="left" wrapText="1"/>
    </xf>
    <xf numFmtId="165" fontId="0" fillId="0" borderId="0" xfId="31" applyNumberFormat="1" applyFont="1" applyFill="1" applyBorder="1" applyAlignment="1" applyProtection="1">
      <alignment horizontal="left" wrapText="1"/>
    </xf>
    <xf numFmtId="0" fontId="0" fillId="0" borderId="0" xfId="31" applyNumberFormat="1" applyFont="1" applyFill="1" applyBorder="1" applyAlignment="1" applyProtection="1">
      <alignment horizontal="left"/>
    </xf>
    <xf numFmtId="166" fontId="0" fillId="0" borderId="0" xfId="31" applyNumberFormat="1" applyFont="1" applyFill="1" applyBorder="1" applyAlignment="1" applyProtection="1">
      <alignment horizontal="center"/>
    </xf>
    <xf numFmtId="166" fontId="34" fillId="0" borderId="0" xfId="31" applyNumberFormat="1" applyFill="1" applyBorder="1" applyAlignment="1" applyProtection="1">
      <alignment horizontal="center"/>
    </xf>
    <xf numFmtId="0" fontId="34" fillId="0" borderId="0" xfId="31" applyAlignment="1">
      <alignment horizontal="center" vertical="center" wrapText="1"/>
    </xf>
    <xf numFmtId="167" fontId="0" fillId="2" borderId="0" xfId="31" applyNumberFormat="1" applyFont="1" applyFill="1" applyBorder="1" applyAlignment="1" applyProtection="1">
      <alignment horizontal="center"/>
    </xf>
    <xf numFmtId="167" fontId="0" fillId="0" borderId="0" xfId="31" applyNumberFormat="1" applyFont="1" applyFill="1" applyBorder="1" applyAlignment="1" applyProtection="1">
      <alignment horizontal="center"/>
    </xf>
    <xf numFmtId="0" fontId="0" fillId="2" borderId="0" xfId="31" applyNumberFormat="1" applyFont="1" applyFill="1" applyBorder="1" applyAlignment="1" applyProtection="1">
      <alignment horizontal="center"/>
    </xf>
    <xf numFmtId="164" fontId="0" fillId="2" borderId="0" xfId="31" applyNumberFormat="1" applyFont="1" applyFill="1" applyBorder="1" applyAlignment="1" applyProtection="1">
      <alignment horizontal="center"/>
    </xf>
    <xf numFmtId="164" fontId="0" fillId="0" borderId="0" xfId="31" applyNumberFormat="1" applyFont="1" applyFill="1" applyBorder="1" applyAlignment="1" applyProtection="1">
      <alignment horizontal="center"/>
    </xf>
    <xf numFmtId="0" fontId="23" fillId="0" borderId="0" xfId="31" applyNumberFormat="1" applyFont="1" applyFill="1" applyBorder="1" applyAlignment="1" applyProtection="1">
      <alignment wrapText="1"/>
    </xf>
    <xf numFmtId="0" fontId="34" fillId="2" borderId="0" xfId="31" applyNumberFormat="1" applyFill="1" applyBorder="1" applyAlignment="1" applyProtection="1">
      <alignment horizontal="center"/>
    </xf>
    <xf numFmtId="0" fontId="34" fillId="0" borderId="0" xfId="31" applyAlignment="1">
      <alignment horizontal="center"/>
    </xf>
    <xf numFmtId="0" fontId="22" fillId="0" borderId="0" xfId="31" applyNumberFormat="1" applyFont="1" applyFill="1" applyBorder="1" applyAlignment="1" applyProtection="1"/>
    <xf numFmtId="12" fontId="0" fillId="0" borderId="0" xfId="31" applyNumberFormat="1" applyFont="1" applyFill="1" applyBorder="1" applyAlignment="1" applyProtection="1">
      <alignment horizontal="center"/>
    </xf>
    <xf numFmtId="12" fontId="34" fillId="0" borderId="0" xfId="31" applyNumberFormat="1" applyFill="1" applyBorder="1" applyAlignment="1" applyProtection="1">
      <alignment horizontal="center"/>
    </xf>
    <xf numFmtId="0" fontId="22" fillId="4" borderId="0" xfId="31" applyNumberFormat="1" applyFont="1" applyFill="1" applyBorder="1" applyAlignment="1" applyProtection="1">
      <alignment horizontal="left"/>
    </xf>
    <xf numFmtId="168" fontId="34" fillId="0" borderId="0" xfId="31" applyNumberFormat="1" applyFill="1" applyBorder="1" applyAlignment="1" applyProtection="1">
      <alignment horizontal="center"/>
    </xf>
    <xf numFmtId="0" fontId="23" fillId="0" borderId="0" xfId="31" applyFont="1" applyAlignment="1">
      <alignment wrapText="1"/>
    </xf>
    <xf numFmtId="0" fontId="0" fillId="0" borderId="0" xfId="3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20" fillId="0" borderId="0" xfId="31" applyFont="1" applyAlignment="1">
      <alignment horizontal="center"/>
    </xf>
    <xf numFmtId="164" fontId="35" fillId="0" borderId="0" xfId="0" applyNumberFormat="1" applyFont="1" applyFill="1" applyBorder="1" applyAlignment="1" applyProtection="1">
      <alignment horizontal="center"/>
    </xf>
    <xf numFmtId="0" fontId="0" fillId="18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 wrapText="1"/>
    </xf>
    <xf numFmtId="0" fontId="36" fillId="0" borderId="0" xfId="0" applyFont="1"/>
    <xf numFmtId="0" fontId="36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2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0" fontId="37" fillId="0" borderId="0" xfId="31" applyNumberFormat="1" applyFont="1" applyFill="1" applyBorder="1" applyAlignment="1" applyProtection="1"/>
    <xf numFmtId="0" fontId="0" fillId="0" borderId="0" xfId="0" applyFill="1" applyBorder="1"/>
    <xf numFmtId="0" fontId="34" fillId="0" borderId="0" xfId="31" applyAlignment="1"/>
    <xf numFmtId="14" fontId="0" fillId="0" borderId="0" xfId="31" quotePrefix="1" applyNumberFormat="1" applyFont="1" applyAlignment="1">
      <alignment horizontal="center"/>
    </xf>
    <xf numFmtId="0" fontId="23" fillId="0" borderId="0" xfId="31" applyNumberFormat="1" applyFont="1" applyFill="1" applyBorder="1" applyAlignment="1" applyProtection="1">
      <alignment horizontal="center"/>
    </xf>
    <xf numFmtId="2" fontId="0" fillId="0" borderId="0" xfId="31" applyNumberFormat="1" applyFont="1" applyFill="1" applyBorder="1" applyAlignment="1" applyProtection="1">
      <alignment horizontal="left" wrapText="1"/>
    </xf>
    <xf numFmtId="0" fontId="37" fillId="0" borderId="0" xfId="31" applyNumberFormat="1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0" borderId="0" xfId="0" applyFill="1"/>
    <xf numFmtId="0" fontId="0" fillId="0" borderId="0" xfId="0" applyFont="1" applyFill="1" applyBorder="1"/>
    <xf numFmtId="0" fontId="39" fillId="0" borderId="0" xfId="0" applyFont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0" fontId="39" fillId="0" borderId="0" xfId="0" quotePrefix="1" applyFont="1" applyAlignment="1">
      <alignment horizontal="center"/>
    </xf>
    <xf numFmtId="0" fontId="0" fillId="0" borderId="0" xfId="0" applyFill="1"/>
    <xf numFmtId="0" fontId="0" fillId="0" borderId="0" xfId="0" applyNumberFormat="1" applyAlignment="1">
      <alignment wrapText="1"/>
    </xf>
    <xf numFmtId="0" fontId="39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41" fillId="0" borderId="0" xfId="0" applyNumberFormat="1" applyFont="1" applyFill="1" applyAlignment="1">
      <alignment horizontal="center"/>
    </xf>
    <xf numFmtId="3" fontId="39" fillId="0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quotePrefix="1" applyNumberFormat="1" applyFill="1" applyBorder="1" applyAlignment="1" applyProtection="1">
      <alignment horizontal="center"/>
    </xf>
    <xf numFmtId="3" fontId="0" fillId="0" borderId="0" xfId="0" applyNumberFormat="1" applyFont="1"/>
    <xf numFmtId="3" fontId="0" fillId="0" borderId="0" xfId="0" applyNumberFormat="1" applyFont="1" applyFill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horizontal="center"/>
    </xf>
    <xf numFmtId="3" fontId="0" fillId="0" borderId="0" xfId="0" applyNumberFormat="1" applyFont="1" applyAlignment="1">
      <alignment horizontal="center"/>
    </xf>
    <xf numFmtId="0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41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28" fillId="0" borderId="0" xfId="0" applyFont="1" applyFill="1"/>
    <xf numFmtId="0" fontId="40" fillId="0" borderId="0" xfId="0" applyFont="1" applyFill="1"/>
    <xf numFmtId="49" fontId="0" fillId="0" borderId="0" xfId="0" applyNumberFormat="1" applyFont="1" applyFill="1" applyBorder="1" applyAlignment="1" applyProtection="1">
      <alignment horizontal="center"/>
    </xf>
  </cellXfs>
  <cellStyles count="4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Normal" xfId="0" builtinId="0"/>
    <cellStyle name="Normal_V&amp;V_Parameter_Sets_Dynamic_MPLP_22" xfId="31" xr:uid="{00000000-0005-0000-0000-00001E000000}"/>
    <cellStyle name="Notiz" xfId="32" xr:uid="{00000000-0005-0000-0000-00001F000000}"/>
    <cellStyle name="Schlecht" xfId="33" xr:uid="{00000000-0005-0000-0000-000020000000}"/>
    <cellStyle name="Überschrift" xfId="34" xr:uid="{00000000-0005-0000-0000-000022000000}"/>
    <cellStyle name="Überschrift 1" xfId="35" xr:uid="{00000000-0005-0000-0000-000023000000}"/>
    <cellStyle name="Überschrift 2" xfId="36" xr:uid="{00000000-0005-0000-0000-000024000000}"/>
    <cellStyle name="Überschrift 3" xfId="37" xr:uid="{00000000-0005-0000-0000-000025000000}"/>
    <cellStyle name="Überschrift 4" xfId="38" xr:uid="{00000000-0005-0000-0000-000026000000}"/>
    <cellStyle name="Verknüpfte Zelle" xfId="39" xr:uid="{00000000-0005-0000-0000-000027000000}"/>
    <cellStyle name="Warnender Text" xfId="40" xr:uid="{00000000-0005-0000-0000-000028000000}"/>
    <cellStyle name="Zelle überprüfen" xfId="41" xr:uid="{00000000-0005-0000-0000-000029000000}"/>
  </cellStyles>
  <dxfs count="25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12"/>
  <sheetViews>
    <sheetView tabSelected="1" zoomScaleNormal="100" workbookViewId="0">
      <pane xSplit="2" ySplit="9" topLeftCell="AQ39" activePane="bottomRight" state="frozen"/>
      <selection pane="topRight" activeCell="AM1" sqref="AM1"/>
      <selection pane="bottomLeft" activeCell="A25" sqref="A25"/>
      <selection pane="bottomRight" activeCell="B3" sqref="B3"/>
    </sheetView>
  </sheetViews>
  <sheetFormatPr defaultColWidth="11.5703125" defaultRowHeight="12.75"/>
  <cols>
    <col min="1" max="1" width="54.140625" style="6" customWidth="1"/>
    <col min="2" max="2" width="27.5703125" style="6" customWidth="1"/>
    <col min="3" max="3" width="20.140625" style="7" customWidth="1"/>
    <col min="4" max="4" width="0" style="7" hidden="1" customWidth="1"/>
    <col min="5" max="5" width="21.42578125" style="7" customWidth="1"/>
    <col min="6" max="6" width="16.42578125" style="6" customWidth="1"/>
    <col min="7" max="8" width="17.85546875" style="6" customWidth="1"/>
    <col min="9" max="9" width="17.5703125" style="6" customWidth="1"/>
    <col min="10" max="10" width="16.5703125" style="6" customWidth="1"/>
    <col min="11" max="11" width="15.7109375" style="6" customWidth="1"/>
    <col min="12" max="12" width="15.5703125" style="6" customWidth="1"/>
    <col min="13" max="13" width="15.42578125" style="6" customWidth="1"/>
    <col min="14" max="17" width="21.5703125" style="6" customWidth="1"/>
    <col min="18" max="18" width="20.28515625" style="6" customWidth="1"/>
    <col min="19" max="19" width="19" style="6" customWidth="1"/>
    <col min="20" max="20" width="17.140625" style="6" customWidth="1"/>
    <col min="21" max="21" width="17.42578125" style="6" customWidth="1"/>
    <col min="22" max="22" width="17" style="6" customWidth="1"/>
    <col min="23" max="35" width="0" style="6" hidden="1" customWidth="1"/>
    <col min="36" max="40" width="17" style="6" customWidth="1"/>
    <col min="41" max="41" width="11.5703125" style="6" customWidth="1"/>
    <col min="42" max="42" width="20.42578125" style="6" customWidth="1"/>
    <col min="43" max="43" width="20.140625" style="7" customWidth="1"/>
    <col min="44" max="44" width="16.7109375" style="6" customWidth="1"/>
    <col min="45" max="45" width="21.7109375" style="6" customWidth="1"/>
    <col min="46" max="46" width="23.140625" style="6" customWidth="1"/>
    <col min="47" max="16384" width="11.5703125" style="6"/>
  </cols>
  <sheetData>
    <row r="1" spans="1:56">
      <c r="A1" s="8"/>
      <c r="B1" s="8" t="s">
        <v>0</v>
      </c>
    </row>
    <row r="2" spans="1:56">
      <c r="A2" s="9" t="s">
        <v>1</v>
      </c>
      <c r="B2" s="8" t="s">
        <v>514</v>
      </c>
    </row>
    <row r="4" spans="1:56" ht="18">
      <c r="A4" s="10" t="s">
        <v>2</v>
      </c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AQ4" s="11"/>
    </row>
    <row r="5" spans="1:56" ht="18">
      <c r="A5" s="10"/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G5" s="12"/>
      <c r="AH5" s="12"/>
      <c r="AQ5" s="12"/>
    </row>
    <row r="6" spans="1:56" s="16" customFormat="1" ht="18">
      <c r="A6" s="13"/>
      <c r="B6" s="14" t="s">
        <v>4</v>
      </c>
      <c r="C6" s="15">
        <v>1</v>
      </c>
      <c r="D6" s="15">
        <f t="shared" ref="D6:AE6" si="0">C6+1</f>
        <v>2</v>
      </c>
      <c r="E6" s="15">
        <f t="shared" si="0"/>
        <v>3</v>
      </c>
      <c r="F6" s="15">
        <f t="shared" si="0"/>
        <v>4</v>
      </c>
      <c r="G6" s="15">
        <f t="shared" si="0"/>
        <v>5</v>
      </c>
      <c r="H6" s="15">
        <f t="shared" si="0"/>
        <v>6</v>
      </c>
      <c r="I6" s="15">
        <f t="shared" si="0"/>
        <v>7</v>
      </c>
      <c r="J6" s="15">
        <f t="shared" si="0"/>
        <v>8</v>
      </c>
      <c r="K6" s="15">
        <f t="shared" si="0"/>
        <v>9</v>
      </c>
      <c r="L6" s="15">
        <f t="shared" si="0"/>
        <v>10</v>
      </c>
      <c r="M6" s="15">
        <f t="shared" si="0"/>
        <v>11</v>
      </c>
      <c r="N6" s="15">
        <f t="shared" si="0"/>
        <v>12</v>
      </c>
      <c r="O6" s="15">
        <f t="shared" si="0"/>
        <v>13</v>
      </c>
      <c r="P6" s="15">
        <f t="shared" si="0"/>
        <v>14</v>
      </c>
      <c r="Q6" s="15">
        <f t="shared" si="0"/>
        <v>15</v>
      </c>
      <c r="R6" s="15">
        <f t="shared" si="0"/>
        <v>16</v>
      </c>
      <c r="S6" s="15">
        <f t="shared" si="0"/>
        <v>17</v>
      </c>
      <c r="T6" s="15">
        <f t="shared" si="0"/>
        <v>18</v>
      </c>
      <c r="U6" s="15">
        <f t="shared" si="0"/>
        <v>19</v>
      </c>
      <c r="V6" s="15">
        <f t="shared" si="0"/>
        <v>20</v>
      </c>
      <c r="W6" s="15">
        <f t="shared" si="0"/>
        <v>21</v>
      </c>
      <c r="X6" s="15">
        <f t="shared" si="0"/>
        <v>22</v>
      </c>
      <c r="Y6" s="15">
        <f t="shared" si="0"/>
        <v>23</v>
      </c>
      <c r="Z6" s="15">
        <f t="shared" si="0"/>
        <v>24</v>
      </c>
      <c r="AA6" s="15">
        <f t="shared" si="0"/>
        <v>25</v>
      </c>
      <c r="AB6" s="15">
        <f t="shared" si="0"/>
        <v>26</v>
      </c>
      <c r="AC6" s="15">
        <f t="shared" si="0"/>
        <v>27</v>
      </c>
      <c r="AD6" s="15">
        <f t="shared" si="0"/>
        <v>28</v>
      </c>
      <c r="AE6" s="15">
        <f t="shared" si="0"/>
        <v>29</v>
      </c>
      <c r="AF6" s="15">
        <v>30</v>
      </c>
      <c r="AG6" s="15">
        <f t="shared" ref="AG6:AP6" si="1">AF6+1</f>
        <v>31</v>
      </c>
      <c r="AH6" s="15">
        <f t="shared" si="1"/>
        <v>32</v>
      </c>
      <c r="AI6" s="15">
        <f t="shared" si="1"/>
        <v>33</v>
      </c>
      <c r="AJ6" s="15">
        <f t="shared" si="1"/>
        <v>34</v>
      </c>
      <c r="AK6" s="15">
        <f t="shared" si="1"/>
        <v>35</v>
      </c>
      <c r="AL6" s="15">
        <f t="shared" si="1"/>
        <v>36</v>
      </c>
      <c r="AM6" s="15">
        <f t="shared" si="1"/>
        <v>37</v>
      </c>
      <c r="AN6" s="15">
        <f t="shared" si="1"/>
        <v>38</v>
      </c>
      <c r="AO6" s="15">
        <f t="shared" si="1"/>
        <v>39</v>
      </c>
      <c r="AP6" s="15">
        <f t="shared" si="1"/>
        <v>40</v>
      </c>
      <c r="AQ6" s="15">
        <v>41</v>
      </c>
      <c r="AR6" s="15">
        <f t="shared" ref="AR6:AU6" si="2">AQ6+1</f>
        <v>42</v>
      </c>
      <c r="AS6" s="15">
        <f t="shared" si="2"/>
        <v>43</v>
      </c>
      <c r="AT6" s="15">
        <f t="shared" si="2"/>
        <v>44</v>
      </c>
      <c r="AU6" s="15">
        <f t="shared" si="2"/>
        <v>45</v>
      </c>
    </row>
    <row r="7" spans="1:56" ht="18">
      <c r="A7" s="10"/>
      <c r="B7" s="17" t="s">
        <v>5</v>
      </c>
      <c r="C7" s="18" t="s">
        <v>6</v>
      </c>
      <c r="D7" s="18"/>
      <c r="E7" s="18" t="s">
        <v>7</v>
      </c>
      <c r="F7" s="18" t="s">
        <v>8</v>
      </c>
      <c r="G7" s="18" t="s">
        <v>8</v>
      </c>
      <c r="H7" s="18" t="s">
        <v>9</v>
      </c>
      <c r="I7" s="18" t="s">
        <v>9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8" t="s">
        <v>15</v>
      </c>
      <c r="Q7" s="18" t="s">
        <v>8</v>
      </c>
      <c r="R7" s="18" t="s">
        <v>16</v>
      </c>
      <c r="S7" s="18" t="s">
        <v>17</v>
      </c>
      <c r="T7" s="18" t="s">
        <v>18</v>
      </c>
      <c r="U7" s="18" t="s">
        <v>19</v>
      </c>
      <c r="V7" s="18" t="s">
        <v>20</v>
      </c>
      <c r="W7" s="18"/>
      <c r="X7" s="18"/>
      <c r="Y7" s="18"/>
      <c r="Z7" s="18"/>
      <c r="AA7" s="18"/>
      <c r="AB7" s="18"/>
      <c r="AC7" s="18"/>
      <c r="AF7" s="18"/>
      <c r="AG7" s="18"/>
      <c r="AH7" s="18"/>
      <c r="AI7" s="18"/>
      <c r="AJ7" s="18" t="s">
        <v>21</v>
      </c>
      <c r="AK7" s="18" t="s">
        <v>22</v>
      </c>
      <c r="AL7" s="18" t="s">
        <v>23</v>
      </c>
      <c r="AM7" s="18" t="s">
        <v>24</v>
      </c>
      <c r="AN7" s="18" t="s">
        <v>25</v>
      </c>
      <c r="AO7" s="18" t="s">
        <v>26</v>
      </c>
      <c r="AP7" s="18" t="s">
        <v>27</v>
      </c>
      <c r="AQ7" s="18" t="s">
        <v>28</v>
      </c>
      <c r="AR7" s="18" t="s">
        <v>501</v>
      </c>
      <c r="AS7" s="18" t="s">
        <v>505</v>
      </c>
      <c r="AT7" s="18" t="s">
        <v>507</v>
      </c>
      <c r="AU7" s="18" t="s">
        <v>512</v>
      </c>
    </row>
    <row r="8" spans="1:56" ht="18">
      <c r="A8" s="10"/>
      <c r="B8" s="17" t="s">
        <v>29</v>
      </c>
      <c r="C8" s="11" t="str">
        <f>"VV"&amp;TEXT(C6,"000")&amp;"-"&amp;C7</f>
        <v>VV001-CR35</v>
      </c>
      <c r="D8" s="11"/>
      <c r="E8" s="11" t="str">
        <f t="shared" ref="E8:V8" si="3">"VV"&amp;TEXT(E6,"000")&amp;"-"&amp;E7</f>
        <v>VV003-CR23</v>
      </c>
      <c r="F8" s="11" t="str">
        <f t="shared" si="3"/>
        <v>VV004-8KFFT</v>
      </c>
      <c r="G8" s="11" t="str">
        <f t="shared" si="3"/>
        <v>VV005-8KFFT</v>
      </c>
      <c r="H8" s="11" t="str">
        <f t="shared" si="3"/>
        <v>VV006-16KFFT</v>
      </c>
      <c r="I8" s="11" t="str">
        <f t="shared" si="3"/>
        <v>VV007-16KFFT</v>
      </c>
      <c r="J8" s="11" t="str">
        <f t="shared" si="3"/>
        <v>VV008-16KFFT</v>
      </c>
      <c r="K8" s="11" t="str">
        <f t="shared" si="3"/>
        <v>VV009-4KFFT</v>
      </c>
      <c r="L8" s="11" t="str">
        <f t="shared" si="3"/>
        <v>VV010-2KFFT</v>
      </c>
      <c r="M8" s="11" t="str">
        <f t="shared" si="3"/>
        <v>VV011-1KFFT</v>
      </c>
      <c r="N8" s="11" t="str">
        <f t="shared" si="3"/>
        <v>VV012-64QAM45</v>
      </c>
      <c r="O8" s="11" t="str">
        <f t="shared" si="3"/>
        <v>VV013-64QAM56</v>
      </c>
      <c r="P8" s="11" t="str">
        <f t="shared" si="3"/>
        <v>VV014-64QAM34</v>
      </c>
      <c r="Q8" s="11" t="str">
        <f t="shared" si="3"/>
        <v>VV015-8KFFT</v>
      </c>
      <c r="R8" s="11" t="str">
        <f t="shared" si="3"/>
        <v>VV016-256QAM34</v>
      </c>
      <c r="S8" s="11" t="str">
        <f t="shared" si="3"/>
        <v>VV017-PAPRTR</v>
      </c>
      <c r="T8" s="11" t="str">
        <f t="shared" si="3"/>
        <v>VV018-MISO</v>
      </c>
      <c r="U8" s="11" t="str">
        <f t="shared" si="3"/>
        <v>VV019-NOROT</v>
      </c>
      <c r="V8" s="11" t="str">
        <f t="shared" si="3"/>
        <v>VV020-FEF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 t="str">
        <f t="shared" ref="AJ8:AU8" si="4">"VV"&amp;TEXT(AJ6,"000")&amp;"-"&amp;AJ7</f>
        <v>VV034-DTG016</v>
      </c>
      <c r="AK8" s="11" t="str">
        <f t="shared" si="4"/>
        <v>VV035-DTG052</v>
      </c>
      <c r="AL8" s="11" t="str">
        <f t="shared" si="4"/>
        <v>VV036-DTG091</v>
      </c>
      <c r="AM8" s="11" t="str">
        <f t="shared" si="4"/>
        <v>VV037-DTG167</v>
      </c>
      <c r="AN8" s="11" t="str">
        <f t="shared" si="4"/>
        <v>VV038-DTG168</v>
      </c>
      <c r="AO8" s="11" t="str">
        <f t="shared" si="4"/>
        <v>VV039-V121</v>
      </c>
      <c r="AP8" s="11" t="str">
        <f t="shared" si="4"/>
        <v>VV040-TXSIGFEF</v>
      </c>
      <c r="AQ8" s="11" t="str">
        <f t="shared" si="4"/>
        <v>VV041-TXSIGAUX</v>
      </c>
      <c r="AR8" s="11" t="str">
        <f t="shared" si="4"/>
        <v>VV042-ACE</v>
      </c>
      <c r="AS8" s="11" t="str">
        <f t="shared" si="4"/>
        <v>VV043-ACE64QAM</v>
      </c>
      <c r="AT8" s="11" t="str">
        <f t="shared" si="4"/>
        <v>VV044-ACE16QAM</v>
      </c>
      <c r="AU8" s="11" t="str">
        <f t="shared" si="4"/>
        <v>VV045-ACEQPSK</v>
      </c>
    </row>
    <row r="9" spans="1:56" ht="64.5">
      <c r="A9" s="10"/>
      <c r="B9" s="19" t="s">
        <v>30</v>
      </c>
      <c r="C9" s="20" t="s">
        <v>31</v>
      </c>
      <c r="D9" s="20"/>
      <c r="E9" s="20" t="s">
        <v>32</v>
      </c>
      <c r="F9" s="20" t="s">
        <v>33</v>
      </c>
      <c r="G9" s="20" t="s">
        <v>34</v>
      </c>
      <c r="H9" s="20" t="s">
        <v>35</v>
      </c>
      <c r="I9" s="20" t="s">
        <v>36</v>
      </c>
      <c r="J9" s="20" t="s">
        <v>37</v>
      </c>
      <c r="K9" s="20" t="s">
        <v>10</v>
      </c>
      <c r="L9" s="20" t="s">
        <v>11</v>
      </c>
      <c r="M9" s="20" t="s">
        <v>12</v>
      </c>
      <c r="N9" s="20" t="s">
        <v>38</v>
      </c>
      <c r="O9" s="20" t="s">
        <v>39</v>
      </c>
      <c r="P9" s="20" t="s">
        <v>40</v>
      </c>
      <c r="Q9" s="20" t="s">
        <v>41</v>
      </c>
      <c r="R9" s="20" t="s">
        <v>42</v>
      </c>
      <c r="S9" s="21" t="s">
        <v>43</v>
      </c>
      <c r="T9" s="21" t="s">
        <v>44</v>
      </c>
      <c r="U9" s="21" t="s">
        <v>45</v>
      </c>
      <c r="V9" s="19" t="s">
        <v>20</v>
      </c>
      <c r="W9" s="19"/>
      <c r="X9" s="19"/>
      <c r="Y9" s="19"/>
      <c r="Z9" s="19"/>
      <c r="AA9" s="19"/>
      <c r="AB9" s="19"/>
      <c r="AC9" s="19"/>
      <c r="AD9" s="19"/>
      <c r="AE9" s="19"/>
      <c r="AF9" s="21"/>
      <c r="AG9" s="19"/>
      <c r="AH9" s="19"/>
      <c r="AI9" s="19"/>
      <c r="AJ9" s="19" t="s">
        <v>46</v>
      </c>
      <c r="AK9" s="19" t="s">
        <v>47</v>
      </c>
      <c r="AL9" s="19" t="s">
        <v>48</v>
      </c>
      <c r="AM9" s="19" t="s">
        <v>49</v>
      </c>
      <c r="AN9" s="19" t="s">
        <v>50</v>
      </c>
      <c r="AO9" s="19" t="s">
        <v>51</v>
      </c>
      <c r="AP9" s="19" t="s">
        <v>52</v>
      </c>
      <c r="AQ9" s="20" t="s">
        <v>53</v>
      </c>
      <c r="AR9" s="20" t="s">
        <v>502</v>
      </c>
      <c r="AS9" s="20" t="s">
        <v>506</v>
      </c>
      <c r="AT9" s="20" t="s">
        <v>508</v>
      </c>
      <c r="AU9" s="20" t="s">
        <v>511</v>
      </c>
    </row>
    <row r="10" spans="1:56" s="25" customFormat="1" ht="15.75">
      <c r="A10" s="22" t="s">
        <v>54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</row>
    <row r="11" spans="1:56" ht="15.75">
      <c r="A11" s="26" t="s">
        <v>55</v>
      </c>
      <c r="B11" s="26" t="s">
        <v>56</v>
      </c>
      <c r="C11" s="7" t="s">
        <v>57</v>
      </c>
      <c r="E11" s="7" t="s">
        <v>57</v>
      </c>
      <c r="F11" s="7" t="s">
        <v>57</v>
      </c>
      <c r="G11" s="7" t="s">
        <v>57</v>
      </c>
      <c r="H11" s="7" t="s">
        <v>57</v>
      </c>
      <c r="I11" s="7" t="s">
        <v>57</v>
      </c>
      <c r="J11" s="7" t="s">
        <v>57</v>
      </c>
      <c r="K11" s="7" t="s">
        <v>57</v>
      </c>
      <c r="L11" s="7" t="s">
        <v>57</v>
      </c>
      <c r="M11" s="7" t="s">
        <v>57</v>
      </c>
      <c r="N11" s="7" t="s">
        <v>57</v>
      </c>
      <c r="O11" s="7" t="s">
        <v>57</v>
      </c>
      <c r="P11" s="7" t="s">
        <v>57</v>
      </c>
      <c r="Q11" s="7" t="s">
        <v>57</v>
      </c>
      <c r="R11" s="7" t="s">
        <v>57</v>
      </c>
      <c r="S11" s="7" t="s">
        <v>57</v>
      </c>
      <c r="T11" s="7" t="s">
        <v>57</v>
      </c>
      <c r="U11" s="7" t="s">
        <v>57</v>
      </c>
      <c r="V11" s="7" t="s">
        <v>57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 t="s">
        <v>57</v>
      </c>
      <c r="AK11" s="7" t="s">
        <v>57</v>
      </c>
      <c r="AL11" s="7" t="s">
        <v>57</v>
      </c>
      <c r="AM11" s="7" t="s">
        <v>57</v>
      </c>
      <c r="AN11" s="7" t="s">
        <v>57</v>
      </c>
      <c r="AO11" s="7" t="s">
        <v>57</v>
      </c>
      <c r="AP11" s="7" t="s">
        <v>57</v>
      </c>
      <c r="AQ11" s="7" t="s">
        <v>57</v>
      </c>
      <c r="AR11" s="7" t="s">
        <v>57</v>
      </c>
      <c r="AS11" s="7" t="s">
        <v>57</v>
      </c>
      <c r="AT11" s="7" t="s">
        <v>57</v>
      </c>
      <c r="AU11" s="7" t="s">
        <v>57</v>
      </c>
      <c r="AV11" s="7"/>
      <c r="AW11" s="7"/>
      <c r="AX11" s="7"/>
      <c r="AY11" s="7"/>
      <c r="AZ11" s="7"/>
      <c r="BA11" s="7"/>
      <c r="BB11" s="7"/>
      <c r="BC11" s="7"/>
      <c r="BD11" s="7"/>
    </row>
    <row r="12" spans="1:56" ht="15.75">
      <c r="A12" s="26" t="s">
        <v>58</v>
      </c>
      <c r="B12" s="26"/>
      <c r="C12" s="7" t="s">
        <v>59</v>
      </c>
      <c r="E12" s="7" t="s">
        <v>59</v>
      </c>
      <c r="F12" s="7" t="s">
        <v>59</v>
      </c>
      <c r="G12" s="7" t="s">
        <v>59</v>
      </c>
      <c r="H12" s="7" t="s">
        <v>59</v>
      </c>
      <c r="I12" s="7" t="s">
        <v>59</v>
      </c>
      <c r="J12" s="7" t="s">
        <v>59</v>
      </c>
      <c r="K12" s="7" t="s">
        <v>59</v>
      </c>
      <c r="L12" s="7" t="s">
        <v>59</v>
      </c>
      <c r="M12" s="7" t="s">
        <v>59</v>
      </c>
      <c r="N12" s="5" t="s">
        <v>59</v>
      </c>
      <c r="O12" s="5" t="s">
        <v>59</v>
      </c>
      <c r="P12" s="5" t="s">
        <v>59</v>
      </c>
      <c r="Q12" s="5" t="s">
        <v>59</v>
      </c>
      <c r="R12" s="5" t="s">
        <v>59</v>
      </c>
      <c r="S12" s="7" t="s">
        <v>59</v>
      </c>
      <c r="T12" s="7" t="s">
        <v>59</v>
      </c>
      <c r="U12" s="7" t="s">
        <v>59</v>
      </c>
      <c r="V12" s="7" t="s">
        <v>59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7" t="s">
        <v>59</v>
      </c>
      <c r="AK12" s="7" t="s">
        <v>59</v>
      </c>
      <c r="AL12" s="28" t="s">
        <v>59</v>
      </c>
      <c r="AM12" s="7" t="s">
        <v>59</v>
      </c>
      <c r="AN12" s="7" t="s">
        <v>59</v>
      </c>
      <c r="AO12" s="7" t="s">
        <v>59</v>
      </c>
      <c r="AP12" s="7" t="s">
        <v>59</v>
      </c>
      <c r="AQ12" s="7" t="s">
        <v>59</v>
      </c>
      <c r="AR12" s="7" t="s">
        <v>59</v>
      </c>
      <c r="AS12" s="7" t="s">
        <v>59</v>
      </c>
      <c r="AT12" s="7" t="s">
        <v>59</v>
      </c>
      <c r="AU12" s="7" t="s">
        <v>59</v>
      </c>
      <c r="AV12" s="7"/>
      <c r="AW12" s="7"/>
      <c r="AX12" s="7"/>
      <c r="AY12" s="7"/>
      <c r="AZ12" s="7"/>
      <c r="BA12" s="7"/>
      <c r="BB12" s="7"/>
      <c r="BC12" s="7"/>
      <c r="BD12" s="7"/>
    </row>
    <row r="13" spans="1:56" ht="15.75">
      <c r="A13" s="26" t="s">
        <v>60</v>
      </c>
      <c r="B13" s="26"/>
      <c r="C13" s="7" t="s">
        <v>61</v>
      </c>
      <c r="E13" s="7" t="s">
        <v>61</v>
      </c>
      <c r="F13" s="7" t="s">
        <v>62</v>
      </c>
      <c r="G13" s="7" t="s">
        <v>62</v>
      </c>
      <c r="H13" s="7" t="s">
        <v>63</v>
      </c>
      <c r="I13" s="7" t="s">
        <v>63</v>
      </c>
      <c r="J13" s="7" t="s">
        <v>63</v>
      </c>
      <c r="K13" s="7" t="s">
        <v>64</v>
      </c>
      <c r="L13" s="7" t="s">
        <v>65</v>
      </c>
      <c r="M13" s="7" t="s">
        <v>66</v>
      </c>
      <c r="N13" s="5" t="s">
        <v>62</v>
      </c>
      <c r="O13" s="5" t="s">
        <v>62</v>
      </c>
      <c r="P13" s="5" t="s">
        <v>62</v>
      </c>
      <c r="Q13" s="5" t="s">
        <v>62</v>
      </c>
      <c r="R13" s="5" t="s">
        <v>61</v>
      </c>
      <c r="S13" s="7" t="s">
        <v>61</v>
      </c>
      <c r="T13" s="7" t="s">
        <v>61</v>
      </c>
      <c r="U13" s="7" t="s">
        <v>61</v>
      </c>
      <c r="V13" s="7" t="s">
        <v>64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8" t="s">
        <v>64</v>
      </c>
      <c r="AK13" s="27" t="s">
        <v>63</v>
      </c>
      <c r="AL13" s="28" t="s">
        <v>61</v>
      </c>
      <c r="AM13" s="7" t="s">
        <v>61</v>
      </c>
      <c r="AN13" s="7" t="s">
        <v>61</v>
      </c>
      <c r="AO13" s="7" t="s">
        <v>61</v>
      </c>
      <c r="AP13" s="7" t="s">
        <v>61</v>
      </c>
      <c r="AQ13" s="7" t="s">
        <v>61</v>
      </c>
      <c r="AR13" s="7" t="s">
        <v>61</v>
      </c>
      <c r="AS13" s="7" t="s">
        <v>62</v>
      </c>
      <c r="AT13" s="7" t="s">
        <v>63</v>
      </c>
      <c r="AU13" s="7" t="s">
        <v>66</v>
      </c>
      <c r="AV13" s="7"/>
      <c r="AW13" s="7"/>
      <c r="AX13" s="7"/>
      <c r="AY13" s="7"/>
      <c r="AZ13" s="7"/>
      <c r="BA13" s="7"/>
      <c r="BB13" s="7"/>
      <c r="BC13" s="7"/>
      <c r="BD13" s="7"/>
    </row>
    <row r="14" spans="1:56" ht="15.75">
      <c r="A14" s="26" t="s">
        <v>67</v>
      </c>
      <c r="B14" s="26"/>
      <c r="C14" s="7" t="s">
        <v>68</v>
      </c>
      <c r="E14" s="7" t="s">
        <v>68</v>
      </c>
      <c r="F14" s="5" t="s">
        <v>69</v>
      </c>
      <c r="G14" s="5" t="s">
        <v>70</v>
      </c>
      <c r="H14" s="5" t="s">
        <v>71</v>
      </c>
      <c r="I14" s="5" t="s">
        <v>72</v>
      </c>
      <c r="J14" s="5" t="s">
        <v>73</v>
      </c>
      <c r="K14" s="5" t="s">
        <v>73</v>
      </c>
      <c r="L14" s="5" t="s">
        <v>74</v>
      </c>
      <c r="M14" s="5" t="s">
        <v>74</v>
      </c>
      <c r="N14" s="5" t="s">
        <v>73</v>
      </c>
      <c r="O14" s="5" t="s">
        <v>73</v>
      </c>
      <c r="P14" s="5" t="s">
        <v>73</v>
      </c>
      <c r="Q14" s="5" t="s">
        <v>73</v>
      </c>
      <c r="R14" s="5" t="s">
        <v>68</v>
      </c>
      <c r="S14" s="5" t="s">
        <v>73</v>
      </c>
      <c r="T14" s="5" t="s">
        <v>70</v>
      </c>
      <c r="U14" s="5" t="s">
        <v>68</v>
      </c>
      <c r="V14" s="5" t="s">
        <v>71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8" t="s">
        <v>70</v>
      </c>
      <c r="AK14" s="27" t="s">
        <v>74</v>
      </c>
      <c r="AL14" s="28" t="s">
        <v>74</v>
      </c>
      <c r="AM14" s="27" t="s">
        <v>68</v>
      </c>
      <c r="AN14" s="27" t="s">
        <v>68</v>
      </c>
      <c r="AO14" s="27" t="s">
        <v>68</v>
      </c>
      <c r="AP14" s="27" t="s">
        <v>68</v>
      </c>
      <c r="AQ14" s="7" t="s">
        <v>68</v>
      </c>
      <c r="AR14" s="7" t="s">
        <v>68</v>
      </c>
      <c r="AS14" s="146" t="s">
        <v>69</v>
      </c>
      <c r="AT14" s="146" t="s">
        <v>72</v>
      </c>
      <c r="AU14" s="146" t="s">
        <v>74</v>
      </c>
      <c r="AV14" s="7"/>
      <c r="AW14" s="7"/>
      <c r="AX14" s="7"/>
      <c r="AY14" s="7"/>
      <c r="AZ14" s="7"/>
      <c r="BA14" s="7"/>
      <c r="BB14" s="7"/>
      <c r="BC14" s="7"/>
      <c r="BD14" s="7"/>
    </row>
    <row r="15" spans="1:56" ht="15.75">
      <c r="A15" s="26" t="s">
        <v>75</v>
      </c>
      <c r="B15" s="26" t="s">
        <v>76</v>
      </c>
      <c r="C15" s="7">
        <v>59</v>
      </c>
      <c r="E15" s="7">
        <v>59</v>
      </c>
      <c r="F15" s="7">
        <v>81</v>
      </c>
      <c r="G15" s="7">
        <v>59</v>
      </c>
      <c r="H15" s="7">
        <v>22</v>
      </c>
      <c r="I15" s="7">
        <v>59</v>
      </c>
      <c r="J15" s="7">
        <v>100</v>
      </c>
      <c r="K15" s="7">
        <v>100</v>
      </c>
      <c r="L15" s="7">
        <v>983</v>
      </c>
      <c r="M15" s="7">
        <v>1966</v>
      </c>
      <c r="N15" s="7">
        <v>242</v>
      </c>
      <c r="O15" s="7">
        <v>242</v>
      </c>
      <c r="P15" s="7">
        <v>242</v>
      </c>
      <c r="Q15" s="7">
        <v>238</v>
      </c>
      <c r="R15" s="7">
        <v>59</v>
      </c>
      <c r="S15" s="7">
        <v>19</v>
      </c>
      <c r="T15" s="28">
        <v>19</v>
      </c>
      <c r="U15" s="7">
        <v>59</v>
      </c>
      <c r="V15" s="7">
        <v>15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28"/>
      <c r="AJ15" s="28">
        <v>500</v>
      </c>
      <c r="AK15" s="7">
        <v>100</v>
      </c>
      <c r="AL15" s="28">
        <v>53</v>
      </c>
      <c r="AM15" s="7">
        <v>59</v>
      </c>
      <c r="AN15" s="7">
        <v>19</v>
      </c>
      <c r="AO15" s="7">
        <v>59</v>
      </c>
      <c r="AP15" s="7">
        <v>19</v>
      </c>
      <c r="AQ15" s="7">
        <v>59</v>
      </c>
      <c r="AR15" s="7">
        <v>59</v>
      </c>
      <c r="AS15" s="7">
        <v>81</v>
      </c>
      <c r="AT15" s="7">
        <v>59</v>
      </c>
      <c r="AU15" s="7">
        <v>1966</v>
      </c>
      <c r="AV15" s="7"/>
      <c r="AW15" s="7"/>
      <c r="AX15" s="7"/>
      <c r="AY15" s="7"/>
      <c r="AZ15" s="7"/>
      <c r="BA15" s="7"/>
      <c r="BB15" s="7"/>
      <c r="BC15" s="7"/>
      <c r="BD15" s="7"/>
    </row>
    <row r="16" spans="1:56" ht="15.75">
      <c r="A16" s="26" t="s">
        <v>77</v>
      </c>
      <c r="B16" s="26"/>
      <c r="C16" s="7" t="s">
        <v>78</v>
      </c>
      <c r="E16" s="7" t="s">
        <v>78</v>
      </c>
      <c r="F16" s="7" t="s">
        <v>78</v>
      </c>
      <c r="G16" s="7" t="s">
        <v>78</v>
      </c>
      <c r="H16" s="7" t="s">
        <v>78</v>
      </c>
      <c r="I16" s="7" t="s">
        <v>78</v>
      </c>
      <c r="J16" s="7" t="s">
        <v>78</v>
      </c>
      <c r="K16" s="7" t="s">
        <v>78</v>
      </c>
      <c r="L16" s="7" t="s">
        <v>78</v>
      </c>
      <c r="M16" s="7" t="s">
        <v>78</v>
      </c>
      <c r="N16" s="5" t="s">
        <v>78</v>
      </c>
      <c r="O16" s="5" t="s">
        <v>78</v>
      </c>
      <c r="P16" s="5" t="s">
        <v>78</v>
      </c>
      <c r="Q16" s="5" t="s">
        <v>78</v>
      </c>
      <c r="R16" s="5" t="s">
        <v>78</v>
      </c>
      <c r="S16" s="7" t="s">
        <v>78</v>
      </c>
      <c r="T16" s="7" t="s">
        <v>18</v>
      </c>
      <c r="U16" s="7" t="s">
        <v>78</v>
      </c>
      <c r="V16" s="7" t="s">
        <v>78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8" t="s">
        <v>78</v>
      </c>
      <c r="AK16" s="7" t="s">
        <v>78</v>
      </c>
      <c r="AL16" s="28" t="s">
        <v>78</v>
      </c>
      <c r="AM16" s="7" t="s">
        <v>78</v>
      </c>
      <c r="AN16" s="7" t="s">
        <v>78</v>
      </c>
      <c r="AO16" s="7" t="s">
        <v>78</v>
      </c>
      <c r="AP16" s="7" t="s">
        <v>78</v>
      </c>
      <c r="AQ16" s="7" t="s">
        <v>78</v>
      </c>
      <c r="AR16" s="7" t="s">
        <v>78</v>
      </c>
      <c r="AS16" s="7" t="s">
        <v>78</v>
      </c>
      <c r="AT16" s="7" t="s">
        <v>78</v>
      </c>
      <c r="AU16" s="7" t="s">
        <v>78</v>
      </c>
      <c r="AV16" s="7"/>
      <c r="AW16" s="7"/>
      <c r="AX16" s="7"/>
      <c r="AY16" s="7"/>
      <c r="AZ16" s="7"/>
      <c r="BA16" s="7"/>
      <c r="BB16" s="7"/>
      <c r="BC16" s="7"/>
      <c r="BD16" s="7"/>
    </row>
    <row r="17" spans="1:56" ht="15.75">
      <c r="A17" s="26" t="s">
        <v>79</v>
      </c>
      <c r="B17" s="26"/>
      <c r="C17" s="7" t="s">
        <v>80</v>
      </c>
      <c r="E17" s="7" t="s">
        <v>80</v>
      </c>
      <c r="F17" s="7" t="s">
        <v>80</v>
      </c>
      <c r="G17" s="7" t="s">
        <v>80</v>
      </c>
      <c r="H17" s="7" t="s">
        <v>80</v>
      </c>
      <c r="I17" s="7" t="s">
        <v>80</v>
      </c>
      <c r="J17" s="7" t="s">
        <v>80</v>
      </c>
      <c r="K17" s="7" t="s">
        <v>80</v>
      </c>
      <c r="L17" s="7" t="s">
        <v>80</v>
      </c>
      <c r="M17" s="7" t="s">
        <v>80</v>
      </c>
      <c r="N17" s="5" t="s">
        <v>81</v>
      </c>
      <c r="O17" s="5" t="s">
        <v>81</v>
      </c>
      <c r="P17" s="5" t="s">
        <v>81</v>
      </c>
      <c r="Q17" s="5" t="s">
        <v>80</v>
      </c>
      <c r="R17" s="5" t="s">
        <v>81</v>
      </c>
      <c r="S17" s="7" t="s">
        <v>81</v>
      </c>
      <c r="T17" s="7" t="s">
        <v>80</v>
      </c>
      <c r="U17" s="7" t="s">
        <v>80</v>
      </c>
      <c r="V17" s="7" t="s">
        <v>80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8" t="s">
        <v>80</v>
      </c>
      <c r="AK17" s="7" t="s">
        <v>81</v>
      </c>
      <c r="AL17" s="28" t="s">
        <v>81</v>
      </c>
      <c r="AM17" s="7" t="s">
        <v>80</v>
      </c>
      <c r="AN17" s="7" t="s">
        <v>80</v>
      </c>
      <c r="AO17" s="29" t="s">
        <v>82</v>
      </c>
      <c r="AP17" s="7" t="s">
        <v>80</v>
      </c>
      <c r="AQ17" s="7" t="s">
        <v>80</v>
      </c>
      <c r="AR17" s="7" t="s">
        <v>501</v>
      </c>
      <c r="AS17" s="7" t="s">
        <v>501</v>
      </c>
      <c r="AT17" s="7" t="s">
        <v>501</v>
      </c>
      <c r="AU17" s="7" t="s">
        <v>501</v>
      </c>
      <c r="AV17" s="7"/>
      <c r="AW17" s="7"/>
      <c r="AX17" s="7"/>
      <c r="AY17" s="7"/>
      <c r="AZ17" s="7"/>
      <c r="BA17" s="7"/>
      <c r="BB17" s="7"/>
      <c r="BC17" s="7"/>
      <c r="BD17" s="7"/>
    </row>
    <row r="18" spans="1:56" ht="15.75">
      <c r="A18" s="26" t="s">
        <v>83</v>
      </c>
      <c r="B18" s="26"/>
      <c r="C18" s="7" t="s">
        <v>80</v>
      </c>
      <c r="E18" s="7" t="s">
        <v>80</v>
      </c>
      <c r="F18" s="7" t="s">
        <v>80</v>
      </c>
      <c r="G18" s="7" t="s">
        <v>80</v>
      </c>
      <c r="H18" s="7" t="s">
        <v>80</v>
      </c>
      <c r="I18" s="7" t="s">
        <v>80</v>
      </c>
      <c r="J18" s="7" t="s">
        <v>80</v>
      </c>
      <c r="K18" s="7" t="s">
        <v>80</v>
      </c>
      <c r="L18" s="7" t="s">
        <v>80</v>
      </c>
      <c r="M18" s="7" t="s">
        <v>80</v>
      </c>
      <c r="N18" s="7" t="s">
        <v>80</v>
      </c>
      <c r="O18" s="7" t="s">
        <v>80</v>
      </c>
      <c r="P18" s="7" t="s">
        <v>80</v>
      </c>
      <c r="Q18" s="7" t="s">
        <v>80</v>
      </c>
      <c r="R18" s="7" t="s">
        <v>80</v>
      </c>
      <c r="S18" s="7" t="s">
        <v>80</v>
      </c>
      <c r="T18" s="7" t="s">
        <v>80</v>
      </c>
      <c r="U18" s="7" t="s">
        <v>80</v>
      </c>
      <c r="V18" s="7" t="s">
        <v>80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8" t="s">
        <v>80</v>
      </c>
      <c r="AK18" s="7" t="s">
        <v>80</v>
      </c>
      <c r="AL18" s="28" t="s">
        <v>80</v>
      </c>
      <c r="AM18" s="28" t="s">
        <v>80</v>
      </c>
      <c r="AN18" s="28" t="s">
        <v>80</v>
      </c>
      <c r="AO18" s="28" t="s">
        <v>80</v>
      </c>
      <c r="AP18" s="28" t="s">
        <v>80</v>
      </c>
      <c r="AQ18" s="7" t="s">
        <v>80</v>
      </c>
      <c r="AR18" s="7" t="s">
        <v>80</v>
      </c>
      <c r="AS18" s="7" t="s">
        <v>80</v>
      </c>
      <c r="AT18" s="7" t="s">
        <v>80</v>
      </c>
      <c r="AU18" s="7" t="s">
        <v>80</v>
      </c>
      <c r="AV18" s="7"/>
      <c r="AW18" s="7"/>
      <c r="AX18" s="7"/>
      <c r="AY18" s="7"/>
      <c r="AZ18" s="7"/>
      <c r="BA18" s="7"/>
      <c r="BB18" s="7"/>
      <c r="BC18" s="7"/>
      <c r="BD18" s="7"/>
    </row>
    <row r="19" spans="1:56" ht="15.75">
      <c r="A19" s="26" t="s">
        <v>84</v>
      </c>
      <c r="B19" s="26"/>
      <c r="C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7">
        <v>2</v>
      </c>
      <c r="M19" s="7">
        <v>2</v>
      </c>
      <c r="N19" s="5">
        <v>2</v>
      </c>
      <c r="O19" s="5">
        <v>2</v>
      </c>
      <c r="P19" s="5">
        <v>2</v>
      </c>
      <c r="Q19" s="5">
        <v>2</v>
      </c>
      <c r="R19" s="5">
        <v>2</v>
      </c>
      <c r="S19" s="7">
        <v>2</v>
      </c>
      <c r="T19" s="7">
        <v>2</v>
      </c>
      <c r="U19" s="7">
        <v>2</v>
      </c>
      <c r="V19" s="7">
        <v>4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8">
        <v>2</v>
      </c>
      <c r="AK19" s="7">
        <v>2</v>
      </c>
      <c r="AL19" s="28">
        <v>2</v>
      </c>
      <c r="AM19" s="7">
        <v>4</v>
      </c>
      <c r="AN19" s="7">
        <v>4</v>
      </c>
      <c r="AO19" s="7">
        <v>4</v>
      </c>
      <c r="AP19" s="7">
        <v>4</v>
      </c>
      <c r="AQ19" s="7">
        <v>2</v>
      </c>
      <c r="AR19" s="7">
        <v>2</v>
      </c>
      <c r="AS19" s="7">
        <v>2</v>
      </c>
      <c r="AT19" s="7">
        <v>2</v>
      </c>
      <c r="AU19" s="7">
        <v>2</v>
      </c>
      <c r="AV19" s="7"/>
      <c r="AW19" s="7"/>
      <c r="AX19" s="7"/>
      <c r="AY19" s="7"/>
      <c r="AZ19" s="7"/>
      <c r="BA19" s="7"/>
      <c r="BB19" s="7"/>
      <c r="BC19" s="7"/>
      <c r="BD19" s="7"/>
    </row>
    <row r="20" spans="1:56" ht="15.75">
      <c r="A20" s="26" t="s">
        <v>85</v>
      </c>
      <c r="B20" s="26"/>
      <c r="C20" s="7" t="s">
        <v>86</v>
      </c>
      <c r="E20" s="7" t="s">
        <v>86</v>
      </c>
      <c r="F20" s="7" t="s">
        <v>86</v>
      </c>
      <c r="G20" s="7" t="s">
        <v>86</v>
      </c>
      <c r="H20" s="7" t="s">
        <v>86</v>
      </c>
      <c r="I20" s="7" t="s">
        <v>86</v>
      </c>
      <c r="J20" s="7" t="s">
        <v>86</v>
      </c>
      <c r="K20" s="7" t="s">
        <v>86</v>
      </c>
      <c r="L20" s="7" t="s">
        <v>86</v>
      </c>
      <c r="M20" s="5" t="s">
        <v>86</v>
      </c>
      <c r="N20" s="5" t="s">
        <v>86</v>
      </c>
      <c r="O20" s="5" t="s">
        <v>86</v>
      </c>
      <c r="P20" s="5" t="s">
        <v>86</v>
      </c>
      <c r="Q20" s="5" t="s">
        <v>86</v>
      </c>
      <c r="R20" s="5" t="s">
        <v>86</v>
      </c>
      <c r="S20" s="7" t="s">
        <v>86</v>
      </c>
      <c r="T20" s="7" t="s">
        <v>86</v>
      </c>
      <c r="U20" s="7" t="s">
        <v>86</v>
      </c>
      <c r="V20" s="7" t="s">
        <v>86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8" t="s">
        <v>86</v>
      </c>
      <c r="AK20" s="7" t="s">
        <v>86</v>
      </c>
      <c r="AL20" s="28" t="s">
        <v>48</v>
      </c>
      <c r="AM20" s="7" t="s">
        <v>86</v>
      </c>
      <c r="AN20" s="7" t="s">
        <v>86</v>
      </c>
      <c r="AO20" s="7" t="s">
        <v>86</v>
      </c>
      <c r="AP20" s="7" t="s">
        <v>86</v>
      </c>
      <c r="AQ20" s="7" t="s">
        <v>86</v>
      </c>
      <c r="AR20" s="7" t="s">
        <v>86</v>
      </c>
      <c r="AS20" s="7" t="s">
        <v>86</v>
      </c>
      <c r="AT20" s="7" t="s">
        <v>86</v>
      </c>
      <c r="AU20" s="146" t="s">
        <v>86</v>
      </c>
      <c r="AV20" s="7"/>
      <c r="AW20" s="7"/>
      <c r="AX20" s="7"/>
      <c r="AY20" s="7"/>
      <c r="AZ20" s="7"/>
      <c r="BA20" s="7"/>
      <c r="BB20" s="7"/>
      <c r="BC20" s="7"/>
      <c r="BD20" s="7"/>
    </row>
    <row r="21" spans="1:56" ht="15.75">
      <c r="A21" s="26" t="s">
        <v>87</v>
      </c>
      <c r="B21" s="26"/>
      <c r="C21" s="7" t="s">
        <v>88</v>
      </c>
      <c r="E21" s="7" t="s">
        <v>88</v>
      </c>
      <c r="F21" s="7" t="s">
        <v>88</v>
      </c>
      <c r="G21" s="7" t="s">
        <v>88</v>
      </c>
      <c r="H21" s="7" t="s">
        <v>89</v>
      </c>
      <c r="I21" s="7" t="s">
        <v>88</v>
      </c>
      <c r="J21" s="7" t="s">
        <v>88</v>
      </c>
      <c r="K21" s="5" t="s">
        <v>89</v>
      </c>
      <c r="L21" s="5" t="s">
        <v>89</v>
      </c>
      <c r="M21" s="5" t="s">
        <v>89</v>
      </c>
      <c r="N21" s="5" t="s">
        <v>88</v>
      </c>
      <c r="O21" s="5" t="s">
        <v>88</v>
      </c>
      <c r="P21" s="5" t="s">
        <v>88</v>
      </c>
      <c r="Q21" s="5" t="s">
        <v>88</v>
      </c>
      <c r="R21" s="5" t="s">
        <v>88</v>
      </c>
      <c r="S21" s="7" t="s">
        <v>88</v>
      </c>
      <c r="T21" s="7" t="s">
        <v>88</v>
      </c>
      <c r="U21" s="7" t="s">
        <v>88</v>
      </c>
      <c r="V21" s="7" t="s">
        <v>89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8" t="s">
        <v>89</v>
      </c>
      <c r="AK21" s="7" t="s">
        <v>89</v>
      </c>
      <c r="AL21" s="28" t="s">
        <v>89</v>
      </c>
      <c r="AM21" s="7" t="s">
        <v>88</v>
      </c>
      <c r="AN21" s="7" t="s">
        <v>88</v>
      </c>
      <c r="AO21" s="7" t="s">
        <v>88</v>
      </c>
      <c r="AP21" s="7" t="s">
        <v>88</v>
      </c>
      <c r="AQ21" s="7" t="s">
        <v>88</v>
      </c>
      <c r="AR21" s="7" t="s">
        <v>88</v>
      </c>
      <c r="AS21" s="7" t="s">
        <v>88</v>
      </c>
      <c r="AT21" s="7" t="s">
        <v>88</v>
      </c>
      <c r="AU21" s="146" t="s">
        <v>89</v>
      </c>
      <c r="AV21" s="7"/>
      <c r="AW21" s="7"/>
      <c r="AX21" s="7"/>
      <c r="AY21" s="7"/>
      <c r="AZ21" s="7"/>
      <c r="BA21" s="7"/>
      <c r="BB21" s="7"/>
      <c r="BC21" s="7"/>
      <c r="BD21" s="7"/>
    </row>
    <row r="22" spans="1:56" ht="15.75">
      <c r="A22" s="26" t="s">
        <v>90</v>
      </c>
      <c r="B22" s="26"/>
      <c r="C22" s="7" t="s">
        <v>91</v>
      </c>
      <c r="E22" s="7" t="s">
        <v>91</v>
      </c>
      <c r="F22" s="7" t="s">
        <v>92</v>
      </c>
      <c r="G22" s="7" t="s">
        <v>93</v>
      </c>
      <c r="H22" s="7" t="s">
        <v>94</v>
      </c>
      <c r="I22" s="7" t="s">
        <v>93</v>
      </c>
      <c r="J22" s="7" t="s">
        <v>37</v>
      </c>
      <c r="K22" s="7" t="s">
        <v>91</v>
      </c>
      <c r="L22" s="7" t="s">
        <v>95</v>
      </c>
      <c r="M22" s="7" t="s">
        <v>96</v>
      </c>
      <c r="N22" s="5" t="s">
        <v>91</v>
      </c>
      <c r="O22" s="5" t="s">
        <v>91</v>
      </c>
      <c r="P22" s="5" t="s">
        <v>91</v>
      </c>
      <c r="Q22" s="5" t="s">
        <v>91</v>
      </c>
      <c r="R22" s="5" t="s">
        <v>91</v>
      </c>
      <c r="S22" s="7" t="s">
        <v>97</v>
      </c>
      <c r="T22" s="7" t="s">
        <v>95</v>
      </c>
      <c r="U22" s="7" t="s">
        <v>91</v>
      </c>
      <c r="V22" s="7" t="s">
        <v>94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8" t="s">
        <v>92</v>
      </c>
      <c r="AK22" s="7" t="s">
        <v>96</v>
      </c>
      <c r="AL22" s="28" t="s">
        <v>95</v>
      </c>
      <c r="AM22" s="7" t="s">
        <v>91</v>
      </c>
      <c r="AN22" s="7" t="s">
        <v>91</v>
      </c>
      <c r="AO22" s="7" t="s">
        <v>91</v>
      </c>
      <c r="AP22" s="7" t="s">
        <v>91</v>
      </c>
      <c r="AQ22" s="7" t="s">
        <v>91</v>
      </c>
      <c r="AR22" s="7" t="s">
        <v>91</v>
      </c>
      <c r="AS22" s="7" t="s">
        <v>92</v>
      </c>
      <c r="AT22" s="7" t="s">
        <v>93</v>
      </c>
      <c r="AU22" s="7" t="s">
        <v>96</v>
      </c>
      <c r="AV22" s="7"/>
      <c r="AW22" s="7"/>
      <c r="AX22" s="7"/>
      <c r="AY22" s="7"/>
      <c r="AZ22" s="7"/>
      <c r="BA22" s="7"/>
      <c r="BB22" s="7"/>
      <c r="BC22" s="7"/>
      <c r="BD22" s="7"/>
    </row>
    <row r="23" spans="1:56" ht="15.75">
      <c r="A23" s="26" t="s">
        <v>98</v>
      </c>
      <c r="B23" s="26"/>
      <c r="C23" s="7" t="s">
        <v>99</v>
      </c>
      <c r="E23" s="7" t="s">
        <v>99</v>
      </c>
      <c r="F23" s="5" t="s">
        <v>99</v>
      </c>
      <c r="G23" s="5" t="s">
        <v>99</v>
      </c>
      <c r="H23" s="5" t="s">
        <v>99</v>
      </c>
      <c r="I23" s="5" t="s">
        <v>99</v>
      </c>
      <c r="J23" s="5" t="s">
        <v>99</v>
      </c>
      <c r="K23" s="5" t="s">
        <v>100</v>
      </c>
      <c r="L23" s="5" t="s">
        <v>101</v>
      </c>
      <c r="M23" s="5" t="s">
        <v>102</v>
      </c>
      <c r="N23" s="5" t="s">
        <v>99</v>
      </c>
      <c r="O23" s="5" t="s">
        <v>99</v>
      </c>
      <c r="P23" s="5" t="s">
        <v>99</v>
      </c>
      <c r="Q23" s="5" t="s">
        <v>99</v>
      </c>
      <c r="R23" s="5" t="s">
        <v>99</v>
      </c>
      <c r="S23" s="7" t="s">
        <v>99</v>
      </c>
      <c r="T23" s="7" t="s">
        <v>99</v>
      </c>
      <c r="U23" s="7" t="s">
        <v>99</v>
      </c>
      <c r="V23" s="7" t="s">
        <v>101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28" t="s">
        <v>101</v>
      </c>
      <c r="AK23" s="7" t="s">
        <v>99</v>
      </c>
      <c r="AL23" s="28" t="s">
        <v>99</v>
      </c>
      <c r="AM23" s="7" t="s">
        <v>99</v>
      </c>
      <c r="AN23" s="7" t="s">
        <v>99</v>
      </c>
      <c r="AO23" s="7" t="s">
        <v>99</v>
      </c>
      <c r="AP23" s="7" t="s">
        <v>99</v>
      </c>
      <c r="AQ23" s="7" t="s">
        <v>99</v>
      </c>
      <c r="AR23" s="7" t="s">
        <v>99</v>
      </c>
      <c r="AS23" s="146" t="s">
        <v>100</v>
      </c>
      <c r="AT23" s="146" t="s">
        <v>101</v>
      </c>
      <c r="AU23" s="146" t="s">
        <v>102</v>
      </c>
      <c r="AV23" s="7"/>
      <c r="AW23" s="7"/>
      <c r="AX23" s="7"/>
      <c r="AY23" s="7"/>
      <c r="AZ23" s="7"/>
      <c r="BA23" s="7"/>
      <c r="BB23" s="7"/>
      <c r="BC23" s="7"/>
      <c r="BD23" s="7"/>
    </row>
    <row r="24" spans="1:56" ht="15.75">
      <c r="A24" s="26" t="s">
        <v>103</v>
      </c>
      <c r="B24" s="26" t="s">
        <v>104</v>
      </c>
      <c r="C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28">
        <v>1</v>
      </c>
      <c r="AK24" s="7">
        <v>1</v>
      </c>
      <c r="AL24" s="28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7">
        <v>1</v>
      </c>
      <c r="AT24" s="7">
        <v>1</v>
      </c>
      <c r="AU24" s="7">
        <v>1</v>
      </c>
      <c r="AV24" s="7"/>
      <c r="AW24" s="7"/>
      <c r="AX24" s="7"/>
      <c r="AY24" s="7"/>
      <c r="AZ24" s="7"/>
      <c r="BA24" s="7"/>
      <c r="BB24" s="7"/>
      <c r="BC24" s="7"/>
      <c r="BD24" s="7"/>
    </row>
    <row r="25" spans="1:56" ht="15.75">
      <c r="A25" s="26" t="s">
        <v>20</v>
      </c>
      <c r="B25" s="26"/>
      <c r="C25" s="7" t="s">
        <v>80</v>
      </c>
      <c r="E25" s="7" t="s">
        <v>80</v>
      </c>
      <c r="F25" s="7" t="s">
        <v>80</v>
      </c>
      <c r="G25" s="7" t="s">
        <v>80</v>
      </c>
      <c r="H25" s="7" t="s">
        <v>80</v>
      </c>
      <c r="I25" s="7" t="s">
        <v>80</v>
      </c>
      <c r="J25" s="7" t="s">
        <v>80</v>
      </c>
      <c r="K25" s="7" t="s">
        <v>80</v>
      </c>
      <c r="L25" s="7" t="s">
        <v>80</v>
      </c>
      <c r="M25" s="5" t="s">
        <v>80</v>
      </c>
      <c r="N25" s="5" t="s">
        <v>80</v>
      </c>
      <c r="O25" s="5" t="s">
        <v>80</v>
      </c>
      <c r="P25" s="5" t="s">
        <v>80</v>
      </c>
      <c r="Q25" s="5" t="s">
        <v>80</v>
      </c>
      <c r="R25" s="5" t="s">
        <v>80</v>
      </c>
      <c r="S25" s="7" t="s">
        <v>80</v>
      </c>
      <c r="T25" s="7" t="s">
        <v>80</v>
      </c>
      <c r="U25" s="7" t="s">
        <v>80</v>
      </c>
      <c r="V25" s="7" t="s">
        <v>88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8" t="s">
        <v>80</v>
      </c>
      <c r="AK25" s="7" t="s">
        <v>80</v>
      </c>
      <c r="AL25" s="28" t="s">
        <v>80</v>
      </c>
      <c r="AM25" s="7" t="s">
        <v>88</v>
      </c>
      <c r="AN25" s="7" t="s">
        <v>88</v>
      </c>
      <c r="AO25" s="7" t="s">
        <v>88</v>
      </c>
      <c r="AP25" s="7" t="s">
        <v>88</v>
      </c>
      <c r="AQ25" s="7" t="s">
        <v>80</v>
      </c>
      <c r="AR25" s="7" t="s">
        <v>80</v>
      </c>
      <c r="AS25" s="7" t="s">
        <v>80</v>
      </c>
      <c r="AT25" s="7" t="s">
        <v>80</v>
      </c>
      <c r="AU25" s="146" t="s">
        <v>80</v>
      </c>
      <c r="AV25" s="7"/>
      <c r="AW25" s="7"/>
      <c r="AX25" s="7"/>
      <c r="AY25" s="7"/>
      <c r="AZ25" s="7"/>
      <c r="BA25" s="7"/>
      <c r="BB25" s="7"/>
      <c r="BC25" s="7"/>
      <c r="BD25" s="7"/>
    </row>
    <row r="26" spans="1:56" ht="15.75">
      <c r="A26" s="26" t="s">
        <v>105</v>
      </c>
      <c r="B26" s="26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7">
        <v>0</v>
      </c>
      <c r="W26" s="30"/>
      <c r="X26" s="30"/>
      <c r="Y26" s="30"/>
      <c r="Z26" s="30"/>
      <c r="AA26" s="30"/>
      <c r="AB26" s="30"/>
      <c r="AC26" s="30"/>
      <c r="AD26" s="30"/>
      <c r="AE26" s="30"/>
      <c r="AF26" s="7"/>
      <c r="AG26" s="30"/>
      <c r="AH26" s="30"/>
      <c r="AI26" s="30"/>
      <c r="AJ26" s="30"/>
      <c r="AK26" s="30"/>
      <c r="AL26" s="30"/>
      <c r="AM26" s="7">
        <v>0</v>
      </c>
      <c r="AN26" s="7">
        <v>0</v>
      </c>
      <c r="AO26" s="7">
        <v>0</v>
      </c>
      <c r="AP26" s="7">
        <v>0</v>
      </c>
      <c r="AQ26" s="30"/>
      <c r="AR26" s="30"/>
      <c r="AS26" s="30"/>
      <c r="AT26" s="30"/>
      <c r="AU26" s="30"/>
      <c r="AV26" s="7"/>
      <c r="AW26" s="7"/>
      <c r="AX26" s="7"/>
      <c r="AY26" s="7"/>
      <c r="AZ26" s="7"/>
      <c r="BA26" s="7"/>
      <c r="BB26" s="7"/>
      <c r="BC26" s="7"/>
      <c r="BD26" s="7"/>
    </row>
    <row r="27" spans="1:56" ht="15.75">
      <c r="A27" s="26" t="s">
        <v>106</v>
      </c>
      <c r="B27" s="26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7">
        <v>78848</v>
      </c>
      <c r="W27" s="30"/>
      <c r="X27" s="30"/>
      <c r="Y27" s="30"/>
      <c r="Z27" s="30"/>
      <c r="AA27" s="30"/>
      <c r="AB27" s="30"/>
      <c r="AC27" s="30"/>
      <c r="AD27" s="30"/>
      <c r="AE27" s="30"/>
      <c r="AF27" s="7"/>
      <c r="AG27" s="30"/>
      <c r="AH27" s="30"/>
      <c r="AI27" s="30"/>
      <c r="AJ27" s="30"/>
      <c r="AK27" s="30"/>
      <c r="AL27" s="30"/>
      <c r="AM27" s="7">
        <v>550000</v>
      </c>
      <c r="AN27" s="7">
        <v>914286</v>
      </c>
      <c r="AO27" s="7">
        <v>550000</v>
      </c>
      <c r="AP27" s="7">
        <v>914286</v>
      </c>
      <c r="AQ27" s="30"/>
      <c r="AR27" s="30"/>
      <c r="AS27" s="30"/>
      <c r="AT27" s="30"/>
      <c r="AU27" s="30"/>
      <c r="AV27" s="7"/>
      <c r="AW27" s="7"/>
      <c r="AX27" s="7"/>
      <c r="AY27" s="7"/>
      <c r="AZ27" s="7"/>
      <c r="BA27" s="7"/>
      <c r="BB27" s="7"/>
      <c r="BC27" s="7"/>
      <c r="BD27" s="7"/>
    </row>
    <row r="28" spans="1:56" ht="15.75">
      <c r="A28" s="26" t="s">
        <v>107</v>
      </c>
      <c r="B28" s="2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7">
        <v>2</v>
      </c>
      <c r="W28" s="30"/>
      <c r="X28" s="30"/>
      <c r="Y28" s="30"/>
      <c r="Z28" s="30"/>
      <c r="AA28" s="30"/>
      <c r="AB28" s="30"/>
      <c r="AC28" s="30"/>
      <c r="AD28" s="30"/>
      <c r="AE28" s="30"/>
      <c r="AF28" s="7"/>
      <c r="AG28" s="30"/>
      <c r="AH28" s="30"/>
      <c r="AI28" s="30"/>
      <c r="AJ28" s="30"/>
      <c r="AK28" s="30"/>
      <c r="AL28" s="30"/>
      <c r="AM28" s="7">
        <v>1</v>
      </c>
      <c r="AN28" s="7">
        <v>1</v>
      </c>
      <c r="AO28" s="7">
        <v>1</v>
      </c>
      <c r="AP28" s="7">
        <v>1</v>
      </c>
      <c r="AQ28" s="30"/>
      <c r="AR28" s="30"/>
      <c r="AS28" s="30"/>
      <c r="AT28" s="30"/>
      <c r="AU28" s="30"/>
      <c r="AV28" s="7"/>
      <c r="AW28" s="7"/>
      <c r="AX28" s="7"/>
      <c r="AY28" s="7"/>
      <c r="AZ28" s="7"/>
      <c r="BA28" s="7"/>
      <c r="BB28" s="7"/>
      <c r="BC28" s="7"/>
      <c r="BD28" s="7"/>
    </row>
    <row r="29" spans="1:56" ht="15.75">
      <c r="A29" s="26" t="s">
        <v>108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7">
        <v>2</v>
      </c>
      <c r="W29" s="30"/>
      <c r="X29" s="30"/>
      <c r="Y29" s="30"/>
      <c r="Z29" s="30"/>
      <c r="AA29" s="30"/>
      <c r="AB29" s="30"/>
      <c r="AC29" s="30"/>
      <c r="AD29" s="30"/>
      <c r="AE29" s="30"/>
      <c r="AF29" s="7"/>
      <c r="AG29" s="30"/>
      <c r="AH29" s="30"/>
      <c r="AI29" s="30"/>
      <c r="AJ29" s="30"/>
      <c r="AK29" s="30"/>
      <c r="AL29" s="30"/>
      <c r="AM29" s="7">
        <v>2</v>
      </c>
      <c r="AN29" s="7">
        <v>2</v>
      </c>
      <c r="AO29" s="7">
        <v>2</v>
      </c>
      <c r="AP29" s="7">
        <v>2</v>
      </c>
      <c r="AQ29" s="30"/>
      <c r="AR29" s="30"/>
      <c r="AS29" s="30"/>
      <c r="AT29" s="30"/>
      <c r="AU29" s="30"/>
      <c r="AV29" s="7"/>
      <c r="AW29" s="7"/>
      <c r="AX29" s="7"/>
      <c r="AY29" s="7"/>
      <c r="AZ29" s="7"/>
      <c r="BA29" s="7"/>
      <c r="BB29" s="7"/>
      <c r="BC29" s="7"/>
      <c r="BD29" s="7"/>
    </row>
    <row r="30" spans="1:56" ht="15.75">
      <c r="A30" s="26" t="s">
        <v>109</v>
      </c>
      <c r="B30" s="2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7">
        <v>1</v>
      </c>
      <c r="W30" s="30"/>
      <c r="X30" s="30"/>
      <c r="Y30" s="30"/>
      <c r="Z30" s="30"/>
      <c r="AA30" s="30"/>
      <c r="AB30" s="30"/>
      <c r="AC30" s="30"/>
      <c r="AD30" s="30"/>
      <c r="AE30" s="30"/>
      <c r="AF30" s="7"/>
      <c r="AG30" s="30"/>
      <c r="AH30" s="30"/>
      <c r="AI30" s="30"/>
      <c r="AJ30" s="30"/>
      <c r="AK30" s="30"/>
      <c r="AL30" s="30"/>
      <c r="AM30" s="7">
        <v>1</v>
      </c>
      <c r="AN30" s="7">
        <v>1</v>
      </c>
      <c r="AO30" s="7">
        <v>1</v>
      </c>
      <c r="AP30" s="7">
        <v>1</v>
      </c>
      <c r="AQ30" s="30"/>
      <c r="AR30" s="30"/>
      <c r="AS30" s="30"/>
      <c r="AT30" s="30"/>
      <c r="AU30" s="30"/>
      <c r="AV30" s="7"/>
      <c r="AW30" s="7"/>
      <c r="AX30" s="7"/>
      <c r="AY30" s="7"/>
      <c r="AZ30" s="7"/>
      <c r="BA30" s="7"/>
      <c r="BB30" s="7"/>
      <c r="BC30" s="7"/>
      <c r="BD30" s="7"/>
    </row>
    <row r="31" spans="1:56" ht="31.5">
      <c r="A31" s="26" t="s">
        <v>110</v>
      </c>
      <c r="B31" s="31" t="s">
        <v>111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7" t="s">
        <v>112</v>
      </c>
      <c r="W31" s="30"/>
      <c r="X31" s="30"/>
      <c r="Y31" s="30"/>
      <c r="Z31" s="30"/>
      <c r="AA31" s="30"/>
      <c r="AB31" s="30"/>
      <c r="AC31" s="30"/>
      <c r="AD31" s="30"/>
      <c r="AE31" s="30"/>
      <c r="AF31" s="7"/>
      <c r="AG31" s="30"/>
      <c r="AH31" s="30"/>
      <c r="AI31" s="30"/>
      <c r="AJ31" s="30"/>
      <c r="AK31" s="30"/>
      <c r="AL31" s="30"/>
      <c r="AM31" s="7" t="s">
        <v>113</v>
      </c>
      <c r="AN31" s="7" t="s">
        <v>113</v>
      </c>
      <c r="AO31" s="7" t="s">
        <v>113</v>
      </c>
      <c r="AP31" s="7" t="s">
        <v>114</v>
      </c>
      <c r="AQ31" s="30"/>
      <c r="AR31" s="30"/>
      <c r="AS31" s="30"/>
      <c r="AT31" s="30"/>
      <c r="AU31" s="30"/>
      <c r="AV31" s="7"/>
      <c r="AW31" s="7"/>
      <c r="AX31" s="7"/>
      <c r="AY31" s="7"/>
      <c r="AZ31" s="7"/>
      <c r="BA31" s="7"/>
      <c r="BB31" s="7"/>
      <c r="BC31" s="7"/>
      <c r="BD31" s="7"/>
    </row>
    <row r="32" spans="1:56" ht="15.75">
      <c r="A32" s="26" t="s">
        <v>115</v>
      </c>
      <c r="B32" s="31" t="s">
        <v>116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7"/>
      <c r="W32" s="30"/>
      <c r="X32" s="30"/>
      <c r="Y32" s="30"/>
      <c r="Z32" s="30"/>
      <c r="AA32" s="30"/>
      <c r="AB32" s="30"/>
      <c r="AC32" s="30"/>
      <c r="AD32" s="30"/>
      <c r="AE32" s="30"/>
      <c r="AF32" s="7"/>
      <c r="AG32" s="30"/>
      <c r="AH32" s="30"/>
      <c r="AI32" s="30"/>
      <c r="AJ32" s="30"/>
      <c r="AK32" s="30"/>
      <c r="AL32" s="30"/>
      <c r="AM32" s="7"/>
      <c r="AN32" s="7"/>
      <c r="AO32" s="7"/>
      <c r="AP32" s="7">
        <f>1</f>
        <v>1</v>
      </c>
      <c r="AQ32" s="30"/>
      <c r="AR32" s="30"/>
      <c r="AS32" s="30"/>
      <c r="AT32" s="30"/>
      <c r="AU32" s="30"/>
      <c r="AV32" s="7"/>
      <c r="AW32" s="7"/>
      <c r="AX32" s="7"/>
      <c r="AY32" s="7"/>
      <c r="AZ32" s="7"/>
      <c r="BA32" s="7"/>
      <c r="BB32" s="7"/>
      <c r="BC32" s="7"/>
      <c r="BD32" s="7"/>
    </row>
    <row r="33" spans="1:56" ht="15.75">
      <c r="A33" s="26" t="s">
        <v>117</v>
      </c>
      <c r="B33" s="31" t="s">
        <v>116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7"/>
      <c r="W33" s="30"/>
      <c r="X33" s="30"/>
      <c r="Y33" s="30"/>
      <c r="Z33" s="30"/>
      <c r="AA33" s="30"/>
      <c r="AB33" s="30"/>
      <c r="AC33" s="30"/>
      <c r="AD33" s="30"/>
      <c r="AE33" s="30"/>
      <c r="AF33" s="7"/>
      <c r="AG33" s="30"/>
      <c r="AH33" s="30"/>
      <c r="AI33" s="30"/>
      <c r="AJ33" s="30"/>
      <c r="AK33" s="30"/>
      <c r="AL33" s="30"/>
      <c r="AM33" s="7"/>
      <c r="AN33" s="7"/>
      <c r="AO33" s="7"/>
      <c r="AP33" s="7">
        <f>2</f>
        <v>2</v>
      </c>
      <c r="AQ33" s="30"/>
      <c r="AR33" s="30"/>
      <c r="AS33" s="30"/>
      <c r="AT33" s="30"/>
      <c r="AU33" s="30"/>
      <c r="AV33" s="7"/>
      <c r="AW33" s="7"/>
      <c r="AX33" s="7"/>
      <c r="AY33" s="7"/>
      <c r="AZ33" s="7"/>
      <c r="BA33" s="7"/>
      <c r="BB33" s="7"/>
      <c r="BC33" s="7"/>
      <c r="BD33" s="7"/>
    </row>
    <row r="34" spans="1:56" ht="31.5">
      <c r="A34" s="26" t="s">
        <v>118</v>
      </c>
      <c r="B34" s="31" t="s">
        <v>119</v>
      </c>
      <c r="C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/>
      <c r="AW34" s="7"/>
      <c r="AX34" s="7"/>
      <c r="AY34" s="7"/>
      <c r="AZ34" s="7"/>
      <c r="BA34" s="7"/>
      <c r="BB34" s="7"/>
      <c r="BC34" s="7"/>
      <c r="BD34" s="7"/>
    </row>
    <row r="35" spans="1:56" ht="15.75">
      <c r="A35" s="26" t="s">
        <v>120</v>
      </c>
      <c r="B35" s="31"/>
      <c r="C35" s="7">
        <v>1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8">
        <v>1</v>
      </c>
      <c r="AK35" s="7">
        <v>1</v>
      </c>
      <c r="AL35" s="28">
        <v>1</v>
      </c>
      <c r="AM35" s="7">
        <v>1</v>
      </c>
      <c r="AN35" s="7">
        <v>1</v>
      </c>
      <c r="AO35" s="7">
        <v>1</v>
      </c>
      <c r="AP35" s="7">
        <v>1</v>
      </c>
      <c r="AQ35" s="7">
        <v>1</v>
      </c>
      <c r="AR35" s="7">
        <v>1</v>
      </c>
      <c r="AS35" s="7">
        <v>1</v>
      </c>
      <c r="AT35" s="7">
        <v>1</v>
      </c>
      <c r="AU35" s="7">
        <v>1</v>
      </c>
      <c r="AV35" s="7"/>
      <c r="AW35" s="7"/>
      <c r="AX35" s="7"/>
      <c r="AY35" s="7"/>
      <c r="AZ35" s="7"/>
      <c r="BA35" s="7"/>
      <c r="BB35" s="7"/>
      <c r="BC35" s="7"/>
      <c r="BD35" s="7"/>
    </row>
    <row r="36" spans="1:56" ht="15.75">
      <c r="A36" s="26" t="s">
        <v>121</v>
      </c>
      <c r="B36" s="31"/>
      <c r="C36" s="7">
        <v>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1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8">
        <v>1</v>
      </c>
      <c r="AK36" s="7">
        <v>1</v>
      </c>
      <c r="AL36" s="28">
        <v>1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  <c r="AT36" s="7">
        <v>1</v>
      </c>
      <c r="AU36" s="7">
        <v>1</v>
      </c>
      <c r="AV36" s="7"/>
      <c r="AW36" s="7"/>
      <c r="AX36" s="7"/>
      <c r="AY36" s="7"/>
      <c r="AZ36" s="7"/>
      <c r="BA36" s="7"/>
      <c r="BB36" s="7"/>
      <c r="BC36" s="7"/>
      <c r="BD36" s="7"/>
    </row>
    <row r="37" spans="1:56" ht="15.75">
      <c r="A37" s="26" t="s">
        <v>122</v>
      </c>
      <c r="B37" s="31"/>
      <c r="C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8">
        <v>0</v>
      </c>
      <c r="AK37" s="7">
        <v>0</v>
      </c>
      <c r="AL37" s="28">
        <v>0</v>
      </c>
      <c r="AM37" s="7">
        <v>0</v>
      </c>
      <c r="AN37" s="7">
        <v>0</v>
      </c>
      <c r="AO37" s="7">
        <v>0</v>
      </c>
      <c r="AP37" s="7">
        <v>0</v>
      </c>
      <c r="AQ37" s="7">
        <v>1</v>
      </c>
      <c r="AR37" s="7">
        <v>0</v>
      </c>
      <c r="AS37" s="7">
        <v>0</v>
      </c>
      <c r="AT37" s="7">
        <v>0</v>
      </c>
      <c r="AU37" s="7">
        <v>0</v>
      </c>
      <c r="AV37" s="7"/>
      <c r="AW37" s="7"/>
      <c r="AX37" s="7"/>
      <c r="AY37" s="7"/>
      <c r="AZ37" s="7"/>
      <c r="BA37" s="7"/>
      <c r="BB37" s="7"/>
      <c r="BC37" s="7"/>
      <c r="BD37" s="7"/>
    </row>
    <row r="38" spans="1:56" ht="15.75">
      <c r="A38" s="26" t="s">
        <v>123</v>
      </c>
      <c r="B38" s="3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28"/>
      <c r="AK38" s="7"/>
      <c r="AL38" s="28"/>
      <c r="AM38" s="7"/>
      <c r="AN38" s="7"/>
      <c r="AO38" s="7"/>
      <c r="AP38" s="7"/>
      <c r="AQ38" s="7">
        <f>4</f>
        <v>4</v>
      </c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:56" ht="15.75">
      <c r="A39" s="26" t="s">
        <v>124</v>
      </c>
      <c r="B39" s="3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28"/>
      <c r="AK39" s="7"/>
      <c r="AL39" s="28"/>
      <c r="AM39" s="7"/>
      <c r="AN39" s="7"/>
      <c r="AO39" s="7"/>
      <c r="AP39" s="7"/>
      <c r="AQ39" s="7">
        <f>5</f>
        <v>5</v>
      </c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1:56" ht="15.75">
      <c r="A40" s="26" t="s">
        <v>125</v>
      </c>
      <c r="B40" s="3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8"/>
      <c r="AK40" s="7"/>
      <c r="AL40" s="28"/>
      <c r="AM40" s="7"/>
      <c r="AN40" s="7"/>
      <c r="AO40" s="7"/>
      <c r="AP40" s="7"/>
      <c r="AQ40" s="7">
        <f>3</f>
        <v>3</v>
      </c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:56" ht="15.75">
      <c r="A41" s="26" t="s">
        <v>126</v>
      </c>
      <c r="B41" s="31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8"/>
      <c r="AK41" s="7"/>
      <c r="AL41" s="28"/>
      <c r="AM41" s="7"/>
      <c r="AN41" s="7"/>
      <c r="AO41" s="7"/>
      <c r="AP41" s="7"/>
      <c r="AQ41" s="7">
        <f>4</f>
        <v>4</v>
      </c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1:56" ht="15.75">
      <c r="A42" s="26" t="s">
        <v>127</v>
      </c>
      <c r="B42" s="31"/>
      <c r="C42" s="7" t="s">
        <v>128</v>
      </c>
      <c r="D42" s="7" t="s">
        <v>128</v>
      </c>
      <c r="E42" s="7" t="s">
        <v>128</v>
      </c>
      <c r="F42" s="7" t="s">
        <v>128</v>
      </c>
      <c r="G42" s="7" t="s">
        <v>128</v>
      </c>
      <c r="H42" s="7" t="s">
        <v>128</v>
      </c>
      <c r="I42" s="7" t="s">
        <v>128</v>
      </c>
      <c r="J42" s="7" t="s">
        <v>128</v>
      </c>
      <c r="K42" s="7" t="s">
        <v>128</v>
      </c>
      <c r="L42" s="7" t="s">
        <v>128</v>
      </c>
      <c r="M42" s="7" t="s">
        <v>128</v>
      </c>
      <c r="N42" s="7" t="s">
        <v>128</v>
      </c>
      <c r="O42" s="7" t="s">
        <v>128</v>
      </c>
      <c r="P42" s="7" t="s">
        <v>128</v>
      </c>
      <c r="Q42" s="7" t="s">
        <v>128</v>
      </c>
      <c r="R42" s="7" t="s">
        <v>128</v>
      </c>
      <c r="S42" s="7" t="s">
        <v>128</v>
      </c>
      <c r="T42" s="7" t="s">
        <v>128</v>
      </c>
      <c r="U42" s="7" t="s">
        <v>128</v>
      </c>
      <c r="V42" s="7" t="s">
        <v>128</v>
      </c>
      <c r="W42" s="7" t="s">
        <v>128</v>
      </c>
      <c r="X42" s="7" t="s">
        <v>128</v>
      </c>
      <c r="Y42" s="7" t="s">
        <v>128</v>
      </c>
      <c r="Z42" s="7" t="s">
        <v>128</v>
      </c>
      <c r="AA42" s="7" t="s">
        <v>128</v>
      </c>
      <c r="AB42" s="7" t="s">
        <v>128</v>
      </c>
      <c r="AC42" s="7" t="s">
        <v>128</v>
      </c>
      <c r="AD42" s="7" t="s">
        <v>128</v>
      </c>
      <c r="AE42" s="7" t="s">
        <v>128</v>
      </c>
      <c r="AF42" s="7" t="s">
        <v>128</v>
      </c>
      <c r="AG42" s="7" t="s">
        <v>128</v>
      </c>
      <c r="AH42" s="7" t="s">
        <v>128</v>
      </c>
      <c r="AI42" s="7" t="s">
        <v>128</v>
      </c>
      <c r="AJ42" s="7" t="s">
        <v>128</v>
      </c>
      <c r="AK42" s="7" t="s">
        <v>128</v>
      </c>
      <c r="AL42" s="7" t="s">
        <v>128</v>
      </c>
      <c r="AM42" s="7" t="s">
        <v>128</v>
      </c>
      <c r="AN42" s="7" t="s">
        <v>128</v>
      </c>
      <c r="AO42" s="7" t="s">
        <v>129</v>
      </c>
      <c r="AP42" s="7" t="s">
        <v>128</v>
      </c>
      <c r="AQ42" s="7" t="s">
        <v>128</v>
      </c>
      <c r="AR42" s="7" t="s">
        <v>128</v>
      </c>
      <c r="AS42" s="7" t="s">
        <v>128</v>
      </c>
      <c r="AT42" s="7" t="s">
        <v>128</v>
      </c>
      <c r="AU42" s="7" t="s">
        <v>128</v>
      </c>
      <c r="AV42" s="7"/>
      <c r="AW42" s="7"/>
      <c r="AX42" s="7"/>
      <c r="AY42" s="7"/>
      <c r="AZ42" s="7"/>
      <c r="BA42" s="7"/>
      <c r="BB42" s="7"/>
      <c r="BC42" s="7"/>
      <c r="BD42" s="7"/>
    </row>
    <row r="43" spans="1:56" ht="15.75">
      <c r="A43" s="26" t="s">
        <v>130</v>
      </c>
      <c r="B43" s="31" t="s">
        <v>131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">
        <v>2.57</v>
      </c>
      <c r="O43" s="7">
        <v>3</v>
      </c>
      <c r="P43" s="7">
        <v>2.83</v>
      </c>
      <c r="Q43" s="32"/>
      <c r="R43" s="7">
        <v>3.3</v>
      </c>
      <c r="S43" s="7">
        <v>3.05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7">
        <v>2.9</v>
      </c>
      <c r="AL43" s="7">
        <v>3</v>
      </c>
      <c r="AM43" s="32"/>
      <c r="AN43" s="32"/>
      <c r="AO43" s="7">
        <v>5</v>
      </c>
      <c r="AP43" s="32"/>
      <c r="AQ43" s="32"/>
      <c r="AR43" s="32"/>
      <c r="AS43" s="32"/>
      <c r="AT43" s="32"/>
      <c r="AU43" s="32"/>
      <c r="AV43" s="7"/>
      <c r="AW43" s="7"/>
      <c r="AX43" s="7"/>
      <c r="AY43" s="7"/>
      <c r="AZ43" s="7"/>
      <c r="BA43" s="7"/>
      <c r="BB43" s="7"/>
      <c r="BC43" s="7"/>
      <c r="BD43" s="7"/>
    </row>
    <row r="44" spans="1:56" ht="15.75">
      <c r="A44" s="26" t="s">
        <v>132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7">
        <v>50</v>
      </c>
      <c r="O44" s="7">
        <v>50</v>
      </c>
      <c r="P44" s="7">
        <v>9</v>
      </c>
      <c r="Q44" s="32"/>
      <c r="R44" s="7">
        <v>3</v>
      </c>
      <c r="S44" s="7">
        <v>9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7">
        <v>11</v>
      </c>
      <c r="AL44" s="7">
        <v>9</v>
      </c>
      <c r="AM44" s="32"/>
      <c r="AN44" s="32"/>
      <c r="AO44" s="32"/>
      <c r="AP44" s="32"/>
      <c r="AQ44" s="32"/>
      <c r="AR44" s="32"/>
      <c r="AS44" s="32"/>
      <c r="AT44" s="32"/>
      <c r="AU44" s="32"/>
      <c r="AV44" s="7"/>
      <c r="AW44" s="7"/>
      <c r="AX44" s="7"/>
      <c r="AY44" s="7"/>
      <c r="AZ44" s="7"/>
      <c r="BA44" s="7"/>
      <c r="BB44" s="7"/>
      <c r="BC44" s="7"/>
      <c r="BD44" s="7"/>
    </row>
    <row r="45" spans="1:56" ht="15.75">
      <c r="A45" s="26" t="s">
        <v>133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93">
        <v>2</v>
      </c>
      <c r="AS45" s="93" t="s">
        <v>510</v>
      </c>
      <c r="AT45" s="93" t="s">
        <v>509</v>
      </c>
      <c r="AU45" s="93" t="s">
        <v>513</v>
      </c>
      <c r="AV45" s="7"/>
      <c r="AW45" s="7"/>
      <c r="AX45" s="7"/>
      <c r="AY45" s="7"/>
      <c r="AZ45" s="7"/>
      <c r="BA45" s="7"/>
      <c r="BB45" s="7"/>
      <c r="BC45" s="7"/>
      <c r="BD45" s="7"/>
    </row>
    <row r="46" spans="1:56" ht="15.75">
      <c r="A46" s="26" t="s">
        <v>503</v>
      </c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93">
        <v>31</v>
      </c>
      <c r="AS46" s="93">
        <v>26</v>
      </c>
      <c r="AT46" s="93">
        <v>28</v>
      </c>
      <c r="AU46" s="93">
        <v>14</v>
      </c>
      <c r="AV46" s="7"/>
      <c r="AW46" s="7"/>
      <c r="AX46" s="7"/>
      <c r="AY46" s="7"/>
      <c r="AZ46" s="7"/>
      <c r="BA46" s="7"/>
      <c r="BB46" s="7"/>
      <c r="BC46" s="7"/>
      <c r="BD46" s="7"/>
    </row>
    <row r="47" spans="1:56" ht="15.75">
      <c r="A47" s="26" t="s">
        <v>504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93">
        <v>1.4</v>
      </c>
      <c r="AS47" s="93">
        <v>1.4</v>
      </c>
      <c r="AT47" s="93">
        <v>1.4</v>
      </c>
      <c r="AU47" s="93">
        <v>1.4</v>
      </c>
      <c r="AV47" s="7"/>
      <c r="AW47" s="7"/>
      <c r="AX47" s="7"/>
      <c r="AY47" s="7"/>
      <c r="AZ47" s="7"/>
      <c r="BA47" s="7"/>
      <c r="BB47" s="7"/>
      <c r="BC47" s="7"/>
      <c r="BD47" s="7"/>
    </row>
    <row r="48" spans="1:56" ht="15.75">
      <c r="A48" s="26" t="s">
        <v>134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7">
        <v>0</v>
      </c>
      <c r="AP48" s="32"/>
      <c r="AQ48" s="32"/>
      <c r="AR48" s="32"/>
      <c r="AS48" s="32"/>
      <c r="AT48" s="32"/>
      <c r="AU48" s="32"/>
      <c r="AV48" s="7"/>
      <c r="AW48" s="7"/>
      <c r="AX48" s="7"/>
      <c r="AY48" s="7"/>
      <c r="AZ48" s="7"/>
      <c r="BA48" s="7"/>
      <c r="BB48" s="7"/>
      <c r="BC48" s="7"/>
      <c r="BD48" s="7"/>
    </row>
    <row r="49" spans="1:56" s="25" customFormat="1" ht="15.75">
      <c r="A49" s="22" t="s">
        <v>135</v>
      </c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ht="15.75">
      <c r="A50" s="33" t="s">
        <v>136</v>
      </c>
      <c r="B50" s="33"/>
      <c r="C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/>
      <c r="AW50" s="7"/>
      <c r="AX50" s="7"/>
      <c r="AY50" s="7"/>
      <c r="AZ50" s="7"/>
      <c r="BA50" s="7"/>
      <c r="BB50" s="7"/>
      <c r="BC50" s="7"/>
      <c r="BD50" s="7"/>
    </row>
    <row r="51" spans="1:56" ht="15.75">
      <c r="A51" s="26" t="s">
        <v>137</v>
      </c>
      <c r="B51" s="26"/>
      <c r="C51" s="7">
        <v>1</v>
      </c>
      <c r="E51" s="7">
        <v>1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7">
        <v>1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>
        <v>1</v>
      </c>
      <c r="AK51" s="7">
        <v>1</v>
      </c>
      <c r="AL51" s="7">
        <v>1</v>
      </c>
      <c r="AM51" s="7">
        <v>1</v>
      </c>
      <c r="AN51" s="7">
        <v>1</v>
      </c>
      <c r="AO51" s="7">
        <v>1</v>
      </c>
      <c r="AP51" s="7">
        <v>1</v>
      </c>
      <c r="AQ51" s="7">
        <v>1</v>
      </c>
      <c r="AR51" s="7">
        <v>1</v>
      </c>
      <c r="AS51" s="7">
        <v>1</v>
      </c>
      <c r="AT51" s="7">
        <v>1</v>
      </c>
      <c r="AU51" s="7">
        <v>1</v>
      </c>
      <c r="AV51" s="7"/>
      <c r="AW51" s="7"/>
      <c r="AX51" s="7"/>
      <c r="AY51" s="7"/>
      <c r="AZ51" s="7"/>
      <c r="BA51" s="7"/>
      <c r="BB51" s="7"/>
      <c r="BC51" s="7"/>
      <c r="BD51" s="7"/>
    </row>
    <row r="52" spans="1:56" ht="15.75">
      <c r="A52" s="26" t="s">
        <v>138</v>
      </c>
      <c r="B52" s="26"/>
      <c r="C52" s="7" t="s">
        <v>139</v>
      </c>
      <c r="E52" s="7" t="s">
        <v>139</v>
      </c>
      <c r="F52" s="7" t="s">
        <v>99</v>
      </c>
      <c r="G52" s="7" t="s">
        <v>139</v>
      </c>
      <c r="H52" s="7" t="s">
        <v>99</v>
      </c>
      <c r="I52" s="7" t="s">
        <v>100</v>
      </c>
      <c r="J52" s="7" t="s">
        <v>139</v>
      </c>
      <c r="K52" s="7" t="s">
        <v>99</v>
      </c>
      <c r="L52" s="7" t="s">
        <v>100</v>
      </c>
      <c r="M52" s="7" t="s">
        <v>101</v>
      </c>
      <c r="N52" s="5" t="s">
        <v>99</v>
      </c>
      <c r="O52" s="5" t="s">
        <v>99</v>
      </c>
      <c r="P52" s="5" t="s">
        <v>99</v>
      </c>
      <c r="Q52" s="5" t="s">
        <v>139</v>
      </c>
      <c r="R52" s="5" t="s">
        <v>139</v>
      </c>
      <c r="S52" s="7" t="s">
        <v>139</v>
      </c>
      <c r="T52" s="7" t="s">
        <v>139</v>
      </c>
      <c r="U52" s="7" t="s">
        <v>139</v>
      </c>
      <c r="V52" s="7" t="s">
        <v>100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 t="s">
        <v>101</v>
      </c>
      <c r="AK52" s="7" t="s">
        <v>99</v>
      </c>
      <c r="AL52" s="7" t="s">
        <v>139</v>
      </c>
      <c r="AM52" s="7" t="s">
        <v>139</v>
      </c>
      <c r="AN52" s="7" t="s">
        <v>139</v>
      </c>
      <c r="AO52" s="7" t="s">
        <v>139</v>
      </c>
      <c r="AP52" s="7" t="s">
        <v>139</v>
      </c>
      <c r="AQ52" s="7" t="s">
        <v>139</v>
      </c>
      <c r="AR52" s="7" t="s">
        <v>139</v>
      </c>
      <c r="AS52" s="7" t="s">
        <v>99</v>
      </c>
      <c r="AT52" s="7" t="s">
        <v>100</v>
      </c>
      <c r="AU52" s="7" t="s">
        <v>101</v>
      </c>
      <c r="AV52" s="7"/>
      <c r="AW52" s="7"/>
      <c r="AX52" s="7"/>
      <c r="AY52" s="7"/>
      <c r="AZ52" s="7"/>
      <c r="BA52" s="7"/>
      <c r="BB52" s="7"/>
      <c r="BC52" s="7"/>
      <c r="BD52" s="7"/>
    </row>
    <row r="53" spans="1:56" ht="15.75">
      <c r="A53" s="26" t="s">
        <v>140</v>
      </c>
      <c r="B53" s="26"/>
      <c r="C53" s="34" t="s">
        <v>141</v>
      </c>
      <c r="D53" s="34"/>
      <c r="E53" s="34" t="s">
        <v>142</v>
      </c>
      <c r="F53" s="34" t="s">
        <v>143</v>
      </c>
      <c r="G53" s="34">
        <v>0.6</v>
      </c>
      <c r="H53" s="34" t="s">
        <v>144</v>
      </c>
      <c r="I53" s="34">
        <v>0.66666666666666663</v>
      </c>
      <c r="J53" s="34">
        <v>0.8</v>
      </c>
      <c r="K53" s="34">
        <v>0.66666666666666663</v>
      </c>
      <c r="L53" s="34">
        <v>0.6</v>
      </c>
      <c r="M53" s="34">
        <v>0.5</v>
      </c>
      <c r="N53" s="34" t="s">
        <v>145</v>
      </c>
      <c r="O53" s="34" t="s">
        <v>144</v>
      </c>
      <c r="P53" s="34" t="s">
        <v>143</v>
      </c>
      <c r="Q53" s="34" t="s">
        <v>141</v>
      </c>
      <c r="R53" s="34" t="s">
        <v>143</v>
      </c>
      <c r="S53" s="34" t="s">
        <v>145</v>
      </c>
      <c r="T53" s="34" t="s">
        <v>144</v>
      </c>
      <c r="U53" s="34" t="s">
        <v>141</v>
      </c>
      <c r="V53" s="34">
        <v>0.5</v>
      </c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5">
        <v>0.8</v>
      </c>
      <c r="AK53" s="35">
        <v>0.75</v>
      </c>
      <c r="AL53" s="35">
        <v>0.6</v>
      </c>
      <c r="AM53" s="35">
        <v>0.66666666666666663</v>
      </c>
      <c r="AN53" s="35">
        <v>0.66666666666666663</v>
      </c>
      <c r="AO53" s="35">
        <v>0.66666666666666663</v>
      </c>
      <c r="AP53" s="35">
        <v>0.66666666666666663</v>
      </c>
      <c r="AQ53" s="34" t="s">
        <v>141</v>
      </c>
      <c r="AR53" s="34" t="s">
        <v>142</v>
      </c>
      <c r="AS53" s="34" t="s">
        <v>143</v>
      </c>
      <c r="AT53" s="34">
        <v>0.66666666666666663</v>
      </c>
      <c r="AU53" s="34">
        <v>0.5</v>
      </c>
      <c r="AV53" s="7"/>
      <c r="AW53" s="7"/>
      <c r="AX53" s="7"/>
      <c r="AY53" s="7"/>
      <c r="AZ53" s="7"/>
      <c r="BA53" s="7"/>
      <c r="BB53" s="7"/>
      <c r="BC53" s="7"/>
      <c r="BD53" s="7"/>
    </row>
    <row r="54" spans="1:56" ht="15.75">
      <c r="A54" s="26" t="s">
        <v>146</v>
      </c>
      <c r="B54" s="26"/>
      <c r="C54" s="7">
        <v>64800</v>
      </c>
      <c r="E54" s="7">
        <v>64800</v>
      </c>
      <c r="F54" s="7">
        <v>64800</v>
      </c>
      <c r="G54" s="7">
        <v>64800</v>
      </c>
      <c r="H54" s="7">
        <v>64800</v>
      </c>
      <c r="I54" s="7">
        <v>64800</v>
      </c>
      <c r="J54" s="7">
        <v>64800</v>
      </c>
      <c r="K54" s="7">
        <v>64800</v>
      </c>
      <c r="L54" s="7">
        <v>64800</v>
      </c>
      <c r="M54" s="7">
        <v>64800</v>
      </c>
      <c r="N54" s="7">
        <v>64800</v>
      </c>
      <c r="O54" s="7">
        <v>64800</v>
      </c>
      <c r="P54" s="7">
        <v>64800</v>
      </c>
      <c r="Q54" s="7">
        <v>64800</v>
      </c>
      <c r="R54" s="7">
        <v>64800</v>
      </c>
      <c r="S54" s="7">
        <v>64800</v>
      </c>
      <c r="T54" s="7">
        <v>64800</v>
      </c>
      <c r="U54" s="7">
        <v>64800</v>
      </c>
      <c r="V54" s="7">
        <v>64800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27">
        <v>16200</v>
      </c>
      <c r="AK54" s="27">
        <v>64800</v>
      </c>
      <c r="AL54" s="27">
        <v>64800</v>
      </c>
      <c r="AM54" s="7">
        <v>64800</v>
      </c>
      <c r="AN54" s="7">
        <v>64800</v>
      </c>
      <c r="AO54" s="7">
        <v>64800</v>
      </c>
      <c r="AP54" s="7">
        <v>64800</v>
      </c>
      <c r="AQ54" s="7">
        <v>64800</v>
      </c>
      <c r="AR54" s="7">
        <v>64800</v>
      </c>
      <c r="AS54" s="7">
        <v>64800</v>
      </c>
      <c r="AT54" s="7">
        <v>64800</v>
      </c>
      <c r="AU54" s="7">
        <v>64800</v>
      </c>
      <c r="AV54" s="7"/>
      <c r="AW54" s="7"/>
      <c r="AX54" s="7"/>
      <c r="AY54" s="7"/>
      <c r="AZ54" s="7"/>
      <c r="BA54" s="7"/>
      <c r="BB54" s="7"/>
      <c r="BC54" s="7"/>
      <c r="BD54" s="7"/>
    </row>
    <row r="55" spans="1:56" ht="15" customHeight="1">
      <c r="A55" s="26" t="s">
        <v>147</v>
      </c>
      <c r="B55" s="26"/>
      <c r="C55" s="7" t="s">
        <v>88</v>
      </c>
      <c r="E55" s="7" t="s">
        <v>88</v>
      </c>
      <c r="F55" s="5" t="s">
        <v>88</v>
      </c>
      <c r="G55" s="5" t="s">
        <v>88</v>
      </c>
      <c r="H55" s="5" t="s">
        <v>88</v>
      </c>
      <c r="I55" s="5" t="s">
        <v>88</v>
      </c>
      <c r="J55" s="5" t="s">
        <v>88</v>
      </c>
      <c r="K55" s="5" t="s">
        <v>88</v>
      </c>
      <c r="L55" s="5" t="s">
        <v>88</v>
      </c>
      <c r="M55" s="5" t="s">
        <v>88</v>
      </c>
      <c r="N55" s="5" t="s">
        <v>88</v>
      </c>
      <c r="O55" s="5" t="s">
        <v>88</v>
      </c>
      <c r="P55" s="5" t="s">
        <v>88</v>
      </c>
      <c r="Q55" s="5" t="s">
        <v>88</v>
      </c>
      <c r="R55" s="5" t="s">
        <v>88</v>
      </c>
      <c r="S55" s="7" t="s">
        <v>88</v>
      </c>
      <c r="T55" s="7" t="s">
        <v>88</v>
      </c>
      <c r="U55" s="36" t="s">
        <v>89</v>
      </c>
      <c r="V55" s="36" t="s">
        <v>88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27" t="s">
        <v>88</v>
      </c>
      <c r="AK55" s="27" t="s">
        <v>88</v>
      </c>
      <c r="AL55" s="27" t="s">
        <v>88</v>
      </c>
      <c r="AM55" s="36" t="s">
        <v>88</v>
      </c>
      <c r="AN55" s="36" t="s">
        <v>88</v>
      </c>
      <c r="AO55" s="36" t="s">
        <v>88</v>
      </c>
      <c r="AP55" s="36" t="s">
        <v>88</v>
      </c>
      <c r="AQ55" s="7" t="s">
        <v>88</v>
      </c>
      <c r="AR55" s="7" t="s">
        <v>89</v>
      </c>
      <c r="AS55" s="146" t="s">
        <v>89</v>
      </c>
      <c r="AT55" s="146" t="s">
        <v>89</v>
      </c>
      <c r="AU55" s="146" t="s">
        <v>89</v>
      </c>
      <c r="AV55" s="7"/>
      <c r="AW55" s="7"/>
      <c r="AX55" s="7"/>
      <c r="AY55" s="7"/>
      <c r="AZ55" s="7"/>
      <c r="BA55" s="7"/>
      <c r="BB55" s="7"/>
      <c r="BC55" s="7"/>
      <c r="BD55" s="7"/>
    </row>
    <row r="56" spans="1:56" ht="19.149999999999999" customHeight="1">
      <c r="A56" s="26" t="s">
        <v>148</v>
      </c>
      <c r="B56" s="26" t="s">
        <v>149</v>
      </c>
      <c r="C56" s="7">
        <v>202</v>
      </c>
      <c r="E56" s="7">
        <v>202</v>
      </c>
      <c r="F56" s="7">
        <v>50</v>
      </c>
      <c r="G56" s="7">
        <v>50</v>
      </c>
      <c r="H56" s="7">
        <v>50</v>
      </c>
      <c r="I56" s="7">
        <v>50</v>
      </c>
      <c r="J56" s="7">
        <v>168</v>
      </c>
      <c r="K56" s="7">
        <v>31</v>
      </c>
      <c r="L56" s="7">
        <v>93</v>
      </c>
      <c r="M56" s="7">
        <v>48</v>
      </c>
      <c r="N56" s="7">
        <v>151</v>
      </c>
      <c r="O56" s="7">
        <v>151</v>
      </c>
      <c r="P56" s="7">
        <v>151</v>
      </c>
      <c r="Q56" s="7">
        <v>200</v>
      </c>
      <c r="R56" s="7">
        <v>200</v>
      </c>
      <c r="S56" s="7">
        <v>64</v>
      </c>
      <c r="T56" s="7">
        <v>61</v>
      </c>
      <c r="U56" s="7">
        <v>202</v>
      </c>
      <c r="V56" s="7">
        <v>3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>
        <v>204</v>
      </c>
      <c r="AK56" s="7">
        <v>119</v>
      </c>
      <c r="AL56" s="7">
        <v>162</v>
      </c>
      <c r="AM56" s="7">
        <v>202</v>
      </c>
      <c r="AN56" s="7">
        <v>66</v>
      </c>
      <c r="AO56" s="7">
        <v>202</v>
      </c>
      <c r="AP56" s="7">
        <v>66</v>
      </c>
      <c r="AQ56" s="7">
        <v>202</v>
      </c>
      <c r="AR56" s="7">
        <v>202</v>
      </c>
      <c r="AS56" s="7">
        <v>50</v>
      </c>
      <c r="AT56" s="7">
        <v>50</v>
      </c>
      <c r="AU56" s="7">
        <v>48</v>
      </c>
      <c r="AV56" s="7"/>
      <c r="AW56" s="7"/>
      <c r="AX56" s="7"/>
      <c r="AY56" s="7"/>
      <c r="AZ56" s="7"/>
      <c r="BA56" s="7"/>
      <c r="BB56" s="7"/>
      <c r="BC56" s="7"/>
      <c r="BD56" s="7"/>
    </row>
    <row r="57" spans="1:56" ht="15.75">
      <c r="A57" s="26" t="s">
        <v>150</v>
      </c>
      <c r="B57" s="26" t="s">
        <v>151</v>
      </c>
      <c r="C57" s="7">
        <v>202</v>
      </c>
      <c r="E57" s="7">
        <v>202</v>
      </c>
      <c r="F57" s="7">
        <v>50</v>
      </c>
      <c r="G57" s="7">
        <v>50</v>
      </c>
      <c r="H57" s="7">
        <v>50</v>
      </c>
      <c r="I57" s="7">
        <v>50</v>
      </c>
      <c r="J57" s="7">
        <v>168</v>
      </c>
      <c r="K57" s="7">
        <v>31</v>
      </c>
      <c r="L57" s="7">
        <v>93</v>
      </c>
      <c r="M57" s="7">
        <v>48</v>
      </c>
      <c r="N57" s="7">
        <v>151</v>
      </c>
      <c r="O57" s="7">
        <v>151</v>
      </c>
      <c r="P57" s="7">
        <v>151</v>
      </c>
      <c r="Q57" s="7">
        <v>200</v>
      </c>
      <c r="R57" s="7">
        <v>200</v>
      </c>
      <c r="S57" s="7">
        <v>64</v>
      </c>
      <c r="T57" s="7">
        <v>61</v>
      </c>
      <c r="U57" s="7">
        <v>202</v>
      </c>
      <c r="V57" s="7">
        <v>3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>
        <v>204</v>
      </c>
      <c r="AK57" s="7">
        <v>119</v>
      </c>
      <c r="AL57" s="7">
        <v>162</v>
      </c>
      <c r="AM57" s="7">
        <v>202</v>
      </c>
      <c r="AN57" s="7">
        <v>66</v>
      </c>
      <c r="AO57" s="7">
        <v>202</v>
      </c>
      <c r="AP57" s="7">
        <v>66</v>
      </c>
      <c r="AQ57" s="7">
        <v>202</v>
      </c>
      <c r="AR57" s="7">
        <v>202</v>
      </c>
      <c r="AS57" s="7">
        <v>50</v>
      </c>
      <c r="AT57" s="7">
        <v>50</v>
      </c>
      <c r="AU57" s="7">
        <v>48</v>
      </c>
      <c r="AV57" s="7"/>
      <c r="AW57" s="7"/>
      <c r="AX57" s="7"/>
      <c r="AY57" s="7"/>
      <c r="AZ57" s="7"/>
      <c r="BA57" s="7"/>
      <c r="BB57" s="7"/>
      <c r="BC57" s="7"/>
      <c r="BD57" s="7"/>
    </row>
    <row r="58" spans="1:56" ht="15.75" hidden="1">
      <c r="A58" s="26" t="s">
        <v>152</v>
      </c>
      <c r="B58" s="26" t="s">
        <v>153</v>
      </c>
      <c r="C58" s="7">
        <v>3</v>
      </c>
      <c r="E58" s="7">
        <v>3</v>
      </c>
      <c r="F58" s="7">
        <v>1</v>
      </c>
      <c r="G58" s="7">
        <v>3</v>
      </c>
      <c r="H58" s="7">
        <v>3</v>
      </c>
      <c r="I58" s="7">
        <v>3</v>
      </c>
      <c r="J58" s="7">
        <v>3</v>
      </c>
      <c r="K58" s="7">
        <v>3</v>
      </c>
      <c r="L58" s="7">
        <v>3</v>
      </c>
      <c r="M58" s="7">
        <v>3</v>
      </c>
      <c r="N58" s="7">
        <v>3</v>
      </c>
      <c r="O58" s="7">
        <v>3</v>
      </c>
      <c r="P58" s="7">
        <v>3</v>
      </c>
      <c r="Q58" s="7">
        <v>3</v>
      </c>
      <c r="R58" s="7">
        <v>3</v>
      </c>
      <c r="S58" s="7">
        <v>1</v>
      </c>
      <c r="T58" s="7">
        <v>1</v>
      </c>
      <c r="U58" s="7">
        <v>3</v>
      </c>
      <c r="V58" s="7">
        <v>1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>
        <v>3</v>
      </c>
      <c r="AR58" s="7">
        <v>3</v>
      </c>
      <c r="AS58" s="7">
        <v>1</v>
      </c>
      <c r="AT58" s="7">
        <v>3</v>
      </c>
      <c r="AU58" s="7">
        <v>3</v>
      </c>
      <c r="AV58" s="7"/>
      <c r="AW58" s="7"/>
      <c r="AX58" s="7"/>
      <c r="AY58" s="7"/>
      <c r="AZ58" s="7"/>
      <c r="BA58" s="7"/>
      <c r="BB58" s="7"/>
      <c r="BC58" s="7"/>
      <c r="BD58" s="7"/>
    </row>
    <row r="59" spans="1:56" ht="15.75" hidden="1">
      <c r="A59" s="26" t="s">
        <v>154</v>
      </c>
      <c r="B59" s="26" t="s">
        <v>153</v>
      </c>
      <c r="C59" s="7">
        <v>1</v>
      </c>
      <c r="E59" s="7">
        <v>1</v>
      </c>
      <c r="F59" s="7">
        <v>1</v>
      </c>
      <c r="G59" s="7">
        <v>1</v>
      </c>
      <c r="H59" s="7">
        <v>2</v>
      </c>
      <c r="I59" s="7">
        <v>1</v>
      </c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7">
        <v>1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>
        <v>1</v>
      </c>
      <c r="AR59" s="7">
        <v>1</v>
      </c>
      <c r="AS59" s="7">
        <v>1</v>
      </c>
      <c r="AT59" s="7">
        <v>1</v>
      </c>
      <c r="AU59" s="7">
        <v>1</v>
      </c>
      <c r="AV59" s="7"/>
      <c r="AW59" s="7"/>
      <c r="AX59" s="7"/>
      <c r="AY59" s="7"/>
      <c r="AZ59" s="7"/>
      <c r="BA59" s="7"/>
      <c r="BB59" s="7"/>
      <c r="BC59" s="7"/>
      <c r="BD59" s="7"/>
    </row>
    <row r="60" spans="1:56" ht="15.75">
      <c r="A60" s="26" t="s">
        <v>155</v>
      </c>
      <c r="B60" s="26"/>
      <c r="C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7">
        <v>1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>
        <v>1</v>
      </c>
      <c r="AK60" s="7">
        <v>1</v>
      </c>
      <c r="AL60" s="7">
        <v>1</v>
      </c>
      <c r="AM60" s="7">
        <v>1</v>
      </c>
      <c r="AN60" s="7">
        <v>1</v>
      </c>
      <c r="AO60" s="7">
        <v>1</v>
      </c>
      <c r="AP60" s="7">
        <v>1</v>
      </c>
      <c r="AQ60" s="7">
        <v>1</v>
      </c>
      <c r="AR60" s="7">
        <v>1</v>
      </c>
      <c r="AS60" s="7">
        <v>1</v>
      </c>
      <c r="AT60" s="7">
        <v>1</v>
      </c>
      <c r="AU60" s="7">
        <v>1</v>
      </c>
      <c r="AV60" s="7"/>
      <c r="AW60" s="7"/>
      <c r="AX60" s="7"/>
      <c r="AY60" s="7"/>
      <c r="AZ60" s="7"/>
      <c r="BA60" s="7"/>
      <c r="BB60" s="7"/>
      <c r="BC60" s="7"/>
      <c r="BD60" s="7"/>
    </row>
    <row r="61" spans="1:56" ht="15.75">
      <c r="A61" s="26" t="s">
        <v>156</v>
      </c>
      <c r="B61" s="26"/>
      <c r="C61" s="7">
        <v>0</v>
      </c>
      <c r="E61" s="7">
        <v>0</v>
      </c>
      <c r="F61" s="7">
        <v>0</v>
      </c>
      <c r="G61" s="7">
        <v>0</v>
      </c>
      <c r="H61" s="7">
        <v>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/>
      <c r="AW61" s="7"/>
      <c r="AX61" s="7"/>
      <c r="AY61" s="7"/>
      <c r="AZ61" s="7"/>
      <c r="BA61" s="7"/>
      <c r="BB61" s="7"/>
      <c r="BC61" s="7"/>
      <c r="BD61" s="7"/>
    </row>
    <row r="62" spans="1:56" ht="15.75">
      <c r="A62" s="26" t="s">
        <v>157</v>
      </c>
      <c r="B62" s="26"/>
      <c r="C62" s="7">
        <f>C58</f>
        <v>3</v>
      </c>
      <c r="E62" s="7">
        <v>3</v>
      </c>
      <c r="F62" s="7">
        <f t="shared" ref="F62:V62" si="5">IF(F61=1,F59,F58)</f>
        <v>1</v>
      </c>
      <c r="G62" s="7">
        <f t="shared" si="5"/>
        <v>3</v>
      </c>
      <c r="H62" s="7">
        <f t="shared" si="5"/>
        <v>2</v>
      </c>
      <c r="I62" s="7">
        <f t="shared" si="5"/>
        <v>3</v>
      </c>
      <c r="J62" s="7">
        <f t="shared" si="5"/>
        <v>3</v>
      </c>
      <c r="K62" s="7">
        <f t="shared" si="5"/>
        <v>3</v>
      </c>
      <c r="L62" s="7">
        <f t="shared" si="5"/>
        <v>3</v>
      </c>
      <c r="M62" s="7">
        <f t="shared" si="5"/>
        <v>3</v>
      </c>
      <c r="N62" s="7">
        <f t="shared" si="5"/>
        <v>3</v>
      </c>
      <c r="O62" s="7">
        <f t="shared" si="5"/>
        <v>3</v>
      </c>
      <c r="P62" s="7">
        <f t="shared" si="5"/>
        <v>3</v>
      </c>
      <c r="Q62" s="7">
        <f t="shared" si="5"/>
        <v>3</v>
      </c>
      <c r="R62" s="7">
        <f t="shared" si="5"/>
        <v>3</v>
      </c>
      <c r="S62" s="7">
        <f t="shared" si="5"/>
        <v>1</v>
      </c>
      <c r="T62" s="7">
        <f t="shared" si="5"/>
        <v>1</v>
      </c>
      <c r="U62" s="7">
        <f t="shared" si="5"/>
        <v>3</v>
      </c>
      <c r="V62" s="7">
        <f t="shared" si="5"/>
        <v>1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>
        <v>0</v>
      </c>
      <c r="AK62" s="7">
        <v>3</v>
      </c>
      <c r="AL62" s="7">
        <v>3</v>
      </c>
      <c r="AM62" s="7">
        <v>3</v>
      </c>
      <c r="AN62" s="7">
        <v>1</v>
      </c>
      <c r="AO62" s="7">
        <v>3</v>
      </c>
      <c r="AP62" s="7">
        <v>1</v>
      </c>
      <c r="AQ62" s="7">
        <f>AQ58</f>
        <v>3</v>
      </c>
      <c r="AR62" s="7">
        <v>3</v>
      </c>
      <c r="AS62" s="7">
        <f t="shared" ref="AS62:AU62" si="6">IF(AS61=1,AS59,AS58)</f>
        <v>1</v>
      </c>
      <c r="AT62" s="7">
        <f t="shared" si="6"/>
        <v>3</v>
      </c>
      <c r="AU62" s="7">
        <f t="shared" si="6"/>
        <v>3</v>
      </c>
      <c r="AV62" s="7"/>
      <c r="AW62" s="7"/>
      <c r="AX62" s="7"/>
      <c r="AY62" s="7"/>
      <c r="AZ62" s="7"/>
      <c r="BA62" s="7"/>
      <c r="BB62" s="7"/>
      <c r="BC62" s="7"/>
      <c r="BD62" s="7"/>
    </row>
    <row r="63" spans="1:56" s="25" customFormat="1" ht="15.75">
      <c r="A63" s="37" t="s">
        <v>158</v>
      </c>
      <c r="B63" s="2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ht="15.75">
      <c r="A64" s="26" t="s">
        <v>159</v>
      </c>
      <c r="B64" s="26"/>
      <c r="C64" s="7" t="s">
        <v>160</v>
      </c>
      <c r="E64" s="7" t="s">
        <v>160</v>
      </c>
      <c r="F64" s="7" t="s">
        <v>160</v>
      </c>
      <c r="G64" s="7" t="s">
        <v>160</v>
      </c>
      <c r="H64" s="7" t="s">
        <v>160</v>
      </c>
      <c r="I64" s="7" t="s">
        <v>160</v>
      </c>
      <c r="J64" s="7" t="s">
        <v>161</v>
      </c>
      <c r="K64" s="7" t="s">
        <v>161</v>
      </c>
      <c r="L64" s="7" t="s">
        <v>161</v>
      </c>
      <c r="M64" s="7" t="s">
        <v>161</v>
      </c>
      <c r="N64" s="7" t="s">
        <v>160</v>
      </c>
      <c r="O64" s="7" t="s">
        <v>160</v>
      </c>
      <c r="P64" s="7" t="s">
        <v>160</v>
      </c>
      <c r="Q64" s="7" t="s">
        <v>160</v>
      </c>
      <c r="R64" s="7" t="s">
        <v>160</v>
      </c>
      <c r="S64" s="7" t="s">
        <v>160</v>
      </c>
      <c r="T64" s="7" t="s">
        <v>160</v>
      </c>
      <c r="U64" s="7" t="s">
        <v>160</v>
      </c>
      <c r="V64" s="7" t="s">
        <v>160</v>
      </c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 t="s">
        <v>160</v>
      </c>
      <c r="AK64" s="7" t="s">
        <v>162</v>
      </c>
      <c r="AL64" s="7" t="s">
        <v>160</v>
      </c>
      <c r="AM64" s="7" t="s">
        <v>160</v>
      </c>
      <c r="AN64" s="7" t="s">
        <v>160</v>
      </c>
      <c r="AO64" s="7" t="s">
        <v>160</v>
      </c>
      <c r="AP64" s="7" t="s">
        <v>160</v>
      </c>
      <c r="AQ64" s="7" t="s">
        <v>160</v>
      </c>
      <c r="AR64" s="7" t="s">
        <v>160</v>
      </c>
      <c r="AS64" s="7" t="s">
        <v>160</v>
      </c>
      <c r="AT64" s="7" t="s">
        <v>160</v>
      </c>
      <c r="AU64" s="7" t="s">
        <v>161</v>
      </c>
      <c r="AV64" s="7"/>
      <c r="AW64" s="7"/>
      <c r="AX64" s="7"/>
      <c r="AY64" s="7"/>
      <c r="AZ64" s="7"/>
      <c r="BA64" s="7"/>
      <c r="BB64" s="7"/>
      <c r="BC64" s="7"/>
      <c r="BD64" s="7"/>
    </row>
    <row r="65" spans="1:56" ht="15.75">
      <c r="A65" s="26" t="s">
        <v>163</v>
      </c>
      <c r="B65" s="26"/>
      <c r="C65" s="7" t="s">
        <v>89</v>
      </c>
      <c r="E65" s="7" t="s">
        <v>89</v>
      </c>
      <c r="F65" s="7" t="s">
        <v>89</v>
      </c>
      <c r="G65" s="7" t="s">
        <v>89</v>
      </c>
      <c r="H65" s="7" t="s">
        <v>89</v>
      </c>
      <c r="I65" s="7" t="s">
        <v>89</v>
      </c>
      <c r="J65" s="7" t="s">
        <v>89</v>
      </c>
      <c r="K65" s="7" t="s">
        <v>89</v>
      </c>
      <c r="L65" s="7" t="s">
        <v>89</v>
      </c>
      <c r="M65" s="7" t="s">
        <v>89</v>
      </c>
      <c r="N65" s="7" t="s">
        <v>89</v>
      </c>
      <c r="O65" s="7" t="s">
        <v>89</v>
      </c>
      <c r="P65" s="7" t="s">
        <v>89</v>
      </c>
      <c r="Q65" s="7" t="s">
        <v>89</v>
      </c>
      <c r="R65" s="7" t="s">
        <v>89</v>
      </c>
      <c r="S65" s="7" t="s">
        <v>89</v>
      </c>
      <c r="T65" s="7" t="s">
        <v>89</v>
      </c>
      <c r="U65" s="7" t="s">
        <v>89</v>
      </c>
      <c r="V65" s="7" t="s">
        <v>164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27" t="s">
        <v>89</v>
      </c>
      <c r="AK65" s="27" t="s">
        <v>89</v>
      </c>
      <c r="AL65" s="27" t="s">
        <v>89</v>
      </c>
      <c r="AM65" s="7" t="s">
        <v>164</v>
      </c>
      <c r="AN65" s="7" t="s">
        <v>164</v>
      </c>
      <c r="AO65" s="7" t="s">
        <v>164</v>
      </c>
      <c r="AP65" s="7" t="s">
        <v>164</v>
      </c>
      <c r="AQ65" s="7" t="s">
        <v>89</v>
      </c>
      <c r="AR65" s="7" t="s">
        <v>89</v>
      </c>
      <c r="AS65" s="7" t="s">
        <v>89</v>
      </c>
      <c r="AT65" s="7" t="s">
        <v>89</v>
      </c>
      <c r="AU65" s="7" t="s">
        <v>89</v>
      </c>
      <c r="AV65" s="7"/>
      <c r="AW65" s="7"/>
      <c r="AX65" s="7"/>
      <c r="AY65" s="7"/>
      <c r="AZ65" s="7"/>
      <c r="BA65" s="7"/>
      <c r="BB65" s="7"/>
      <c r="BC65" s="7"/>
      <c r="BD65" s="7"/>
    </row>
    <row r="66" spans="1:56" ht="15.75">
      <c r="A66" s="26" t="s">
        <v>165</v>
      </c>
      <c r="B66" s="2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7">
        <f>256*8192</f>
        <v>2097152</v>
      </c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7">
        <f>256*8192</f>
        <v>2097152</v>
      </c>
      <c r="AN66" s="7">
        <f>256*8192</f>
        <v>2097152</v>
      </c>
      <c r="AO66" s="7">
        <f>256*8192</f>
        <v>2097152</v>
      </c>
      <c r="AP66" s="7">
        <f>256*8192</f>
        <v>2097152</v>
      </c>
      <c r="AQ66" s="30"/>
      <c r="AR66" s="30"/>
      <c r="AS66" s="30"/>
      <c r="AT66" s="30"/>
      <c r="AU66" s="30"/>
      <c r="AV66" s="7"/>
      <c r="AW66" s="7"/>
      <c r="AX66" s="7"/>
      <c r="AY66" s="7"/>
      <c r="AZ66" s="7"/>
      <c r="BA66" s="7"/>
      <c r="BB66" s="7"/>
      <c r="BC66" s="7"/>
      <c r="BD66" s="7"/>
    </row>
    <row r="67" spans="1:56" ht="15.75">
      <c r="A67" s="26"/>
      <c r="B67" s="2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7"/>
      <c r="AW67" s="7"/>
      <c r="AX67" s="7"/>
      <c r="AY67" s="7"/>
      <c r="AZ67" s="7"/>
      <c r="BA67" s="7"/>
      <c r="BB67" s="7"/>
      <c r="BC67" s="7"/>
      <c r="BD67" s="7"/>
    </row>
    <row r="68" spans="1:56" ht="15.75">
      <c r="A68" s="26" t="s">
        <v>166</v>
      </c>
      <c r="B68" s="26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7">
        <v>111647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30"/>
      <c r="AK68" s="30"/>
      <c r="AL68" s="30"/>
      <c r="AM68" s="7">
        <v>670978</v>
      </c>
      <c r="AN68" s="7">
        <v>671680</v>
      </c>
      <c r="AO68" s="7">
        <v>670978</v>
      </c>
      <c r="AP68" s="7">
        <v>671680</v>
      </c>
      <c r="AQ68" s="30"/>
      <c r="AR68" s="30"/>
      <c r="AS68" s="30"/>
      <c r="AT68" s="30"/>
      <c r="AU68" s="30"/>
      <c r="AV68" s="7"/>
      <c r="AW68" s="7"/>
      <c r="AX68" s="7"/>
      <c r="AY68" s="7"/>
      <c r="AZ68" s="7"/>
      <c r="BA68" s="7"/>
      <c r="BB68" s="7"/>
      <c r="BC68" s="7"/>
      <c r="BD68" s="7"/>
    </row>
    <row r="69" spans="1:56" ht="17.649999999999999" customHeight="1">
      <c r="A69" s="38" t="s">
        <v>83</v>
      </c>
      <c r="B69" s="26" t="s">
        <v>167</v>
      </c>
      <c r="C69" s="28" t="s">
        <v>89</v>
      </c>
      <c r="D69" s="28"/>
      <c r="E69" s="28" t="s">
        <v>89</v>
      </c>
      <c r="F69" s="28" t="s">
        <v>89</v>
      </c>
      <c r="G69" s="28" t="s">
        <v>89</v>
      </c>
      <c r="H69" s="28" t="s">
        <v>89</v>
      </c>
      <c r="I69" s="28" t="s">
        <v>89</v>
      </c>
      <c r="J69" s="28" t="s">
        <v>89</v>
      </c>
      <c r="K69" s="28" t="s">
        <v>89</v>
      </c>
      <c r="L69" s="28" t="s">
        <v>89</v>
      </c>
      <c r="M69" s="28" t="s">
        <v>89</v>
      </c>
      <c r="N69" s="28" t="s">
        <v>89</v>
      </c>
      <c r="O69" s="28" t="s">
        <v>89</v>
      </c>
      <c r="P69" s="28" t="s">
        <v>89</v>
      </c>
      <c r="Q69" s="28" t="s">
        <v>89</v>
      </c>
      <c r="R69" s="28" t="s">
        <v>89</v>
      </c>
      <c r="S69" s="28" t="s">
        <v>89</v>
      </c>
      <c r="T69" s="28" t="s">
        <v>89</v>
      </c>
      <c r="U69" s="28" t="s">
        <v>89</v>
      </c>
      <c r="V69" s="28" t="s">
        <v>89</v>
      </c>
      <c r="W69" s="28"/>
      <c r="X69" s="28"/>
      <c r="Y69" s="28"/>
      <c r="Z69" s="28"/>
      <c r="AA69" s="28"/>
      <c r="AB69" s="28"/>
      <c r="AC69" s="7"/>
      <c r="AD69" s="28"/>
      <c r="AE69" s="28"/>
      <c r="AF69" s="7"/>
      <c r="AG69" s="28"/>
      <c r="AH69" s="28"/>
      <c r="AI69" s="28"/>
      <c r="AJ69" s="28" t="s">
        <v>89</v>
      </c>
      <c r="AK69" s="28" t="s">
        <v>89</v>
      </c>
      <c r="AL69" s="28" t="s">
        <v>89</v>
      </c>
      <c r="AM69" s="39" t="s">
        <v>89</v>
      </c>
      <c r="AN69" s="39" t="s">
        <v>89</v>
      </c>
      <c r="AO69" s="39" t="s">
        <v>89</v>
      </c>
      <c r="AP69" s="39" t="s">
        <v>89</v>
      </c>
      <c r="AQ69" s="28" t="s">
        <v>89</v>
      </c>
      <c r="AR69" s="28" t="s">
        <v>89</v>
      </c>
      <c r="AS69" s="28" t="s">
        <v>89</v>
      </c>
      <c r="AT69" s="28" t="s">
        <v>89</v>
      </c>
      <c r="AU69" s="28" t="s">
        <v>89</v>
      </c>
      <c r="AV69" s="7"/>
      <c r="AW69" s="7"/>
      <c r="AX69" s="7"/>
      <c r="AY69" s="7"/>
      <c r="AZ69" s="7"/>
      <c r="BA69" s="7"/>
      <c r="BB69" s="7"/>
      <c r="BC69" s="7"/>
      <c r="BD69" s="7"/>
    </row>
    <row r="70" spans="1:56" ht="17.649999999999999" customHeight="1">
      <c r="A70" s="38" t="s">
        <v>168</v>
      </c>
      <c r="B70" s="26"/>
      <c r="C70" s="28" t="s">
        <v>89</v>
      </c>
      <c r="D70" s="28"/>
      <c r="E70" s="28" t="s">
        <v>89</v>
      </c>
      <c r="F70" s="28" t="s">
        <v>89</v>
      </c>
      <c r="G70" s="28" t="s">
        <v>89</v>
      </c>
      <c r="H70" s="28" t="s">
        <v>89</v>
      </c>
      <c r="I70" s="28" t="s">
        <v>89</v>
      </c>
      <c r="J70" s="28" t="s">
        <v>89</v>
      </c>
      <c r="K70" s="28" t="s">
        <v>89</v>
      </c>
      <c r="L70" s="28" t="s">
        <v>89</v>
      </c>
      <c r="M70" s="28" t="s">
        <v>89</v>
      </c>
      <c r="N70" s="28" t="s">
        <v>89</v>
      </c>
      <c r="O70" s="28" t="s">
        <v>89</v>
      </c>
      <c r="P70" s="28" t="s">
        <v>89</v>
      </c>
      <c r="Q70" s="28" t="s">
        <v>89</v>
      </c>
      <c r="R70" s="28" t="s">
        <v>89</v>
      </c>
      <c r="S70" s="28" t="s">
        <v>89</v>
      </c>
      <c r="T70" s="28" t="s">
        <v>89</v>
      </c>
      <c r="U70" s="28" t="s">
        <v>89</v>
      </c>
      <c r="V70" s="28" t="s">
        <v>89</v>
      </c>
      <c r="W70" s="28"/>
      <c r="X70" s="28"/>
      <c r="Y70" s="28"/>
      <c r="Z70" s="28"/>
      <c r="AA70" s="28"/>
      <c r="AB70" s="28"/>
      <c r="AC70" s="7"/>
      <c r="AD70" s="28"/>
      <c r="AE70" s="28"/>
      <c r="AF70" s="7"/>
      <c r="AG70" s="28"/>
      <c r="AH70" s="28"/>
      <c r="AI70" s="28"/>
      <c r="AJ70" s="28" t="s">
        <v>89</v>
      </c>
      <c r="AK70" s="28" t="s">
        <v>89</v>
      </c>
      <c r="AL70" s="28" t="s">
        <v>89</v>
      </c>
      <c r="AM70" s="39" t="s">
        <v>89</v>
      </c>
      <c r="AN70" s="39" t="s">
        <v>89</v>
      </c>
      <c r="AO70" s="39" t="s">
        <v>169</v>
      </c>
      <c r="AP70" s="39" t="s">
        <v>89</v>
      </c>
      <c r="AQ70" s="28" t="s">
        <v>89</v>
      </c>
      <c r="AR70" s="28" t="s">
        <v>89</v>
      </c>
      <c r="AS70" s="28" t="s">
        <v>89</v>
      </c>
      <c r="AT70" s="28" t="s">
        <v>89</v>
      </c>
      <c r="AU70" s="28" t="s">
        <v>89</v>
      </c>
      <c r="AV70" s="7"/>
      <c r="AW70" s="7"/>
      <c r="AX70" s="7"/>
      <c r="AY70" s="7"/>
      <c r="AZ70" s="7"/>
      <c r="BA70" s="7"/>
      <c r="BB70" s="7"/>
      <c r="BC70" s="7"/>
      <c r="BD70" s="7"/>
    </row>
    <row r="71" spans="1:56" ht="17.649999999999999" customHeight="1">
      <c r="A71" s="38" t="s">
        <v>170</v>
      </c>
      <c r="B71" s="2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28"/>
      <c r="X71" s="28"/>
      <c r="Y71" s="28"/>
      <c r="Z71" s="28"/>
      <c r="AA71" s="28"/>
      <c r="AB71" s="28"/>
      <c r="AC71" s="7"/>
      <c r="AD71" s="28"/>
      <c r="AE71" s="28"/>
      <c r="AF71" s="7"/>
      <c r="AG71" s="28"/>
      <c r="AH71" s="40"/>
      <c r="AI71" s="28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7"/>
      <c r="AW71" s="7"/>
      <c r="AX71" s="7"/>
      <c r="AY71" s="7"/>
      <c r="AZ71" s="7"/>
      <c r="BA71" s="7"/>
      <c r="BB71" s="7"/>
      <c r="BC71" s="7"/>
      <c r="BD71" s="7"/>
    </row>
    <row r="72" spans="1:56" s="25" customFormat="1" ht="15.75" hidden="1">
      <c r="A72" s="22" t="s">
        <v>171</v>
      </c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ht="15.75" hidden="1">
      <c r="A73" s="26" t="s">
        <v>172</v>
      </c>
      <c r="B73" s="41"/>
      <c r="C73" s="7">
        <v>1</v>
      </c>
      <c r="E73" s="7">
        <v>1</v>
      </c>
      <c r="F73" s="7" t="e">
        <f t="shared" ref="F73:V73" si="7">VLOOKUP(F13,Np2symbol,2,FALSE)</f>
        <v>#REF!</v>
      </c>
      <c r="G73" s="7" t="e">
        <f t="shared" si="7"/>
        <v>#REF!</v>
      </c>
      <c r="H73" s="7" t="e">
        <f t="shared" si="7"/>
        <v>#REF!</v>
      </c>
      <c r="I73" s="7" t="e">
        <f t="shared" si="7"/>
        <v>#REF!</v>
      </c>
      <c r="J73" s="7" t="e">
        <f t="shared" si="7"/>
        <v>#REF!</v>
      </c>
      <c r="K73" s="7" t="e">
        <f t="shared" si="7"/>
        <v>#REF!</v>
      </c>
      <c r="L73" s="7" t="e">
        <f t="shared" si="7"/>
        <v>#REF!</v>
      </c>
      <c r="M73" s="7" t="e">
        <f t="shared" si="7"/>
        <v>#REF!</v>
      </c>
      <c r="N73" s="7" t="e">
        <f t="shared" si="7"/>
        <v>#REF!</v>
      </c>
      <c r="O73" s="7" t="e">
        <f t="shared" si="7"/>
        <v>#REF!</v>
      </c>
      <c r="P73" s="7" t="e">
        <f t="shared" si="7"/>
        <v>#REF!</v>
      </c>
      <c r="Q73" s="7" t="e">
        <f t="shared" si="7"/>
        <v>#REF!</v>
      </c>
      <c r="R73" s="7" t="e">
        <f t="shared" si="7"/>
        <v>#REF!</v>
      </c>
      <c r="S73" s="7" t="e">
        <f t="shared" si="7"/>
        <v>#REF!</v>
      </c>
      <c r="T73" s="7" t="e">
        <f t="shared" si="7"/>
        <v>#REF!</v>
      </c>
      <c r="U73" s="7" t="e">
        <f t="shared" si="7"/>
        <v>#REF!</v>
      </c>
      <c r="V73" s="7" t="e">
        <f t="shared" si="7"/>
        <v>#REF!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>
        <v>1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1:56" ht="15.75" hidden="1">
      <c r="A74" s="26" t="s">
        <v>173</v>
      </c>
      <c r="B74" s="26"/>
      <c r="C74" s="7">
        <v>0</v>
      </c>
      <c r="E74" s="7">
        <v>0</v>
      </c>
      <c r="F74" s="7" t="e">
        <f t="shared" ref="F74:V74" si="8">IF(F22="PP8",0,VLOOKUP(F13,FCS,VLOOKUP(F14,FCS_PP_subtable,VLOOKUP(F22,FCS_SISOMISO_subtable,VLOOKUP(F16,SISOMISO,2,FALSE),FALSE),FALSE),FALSE))</f>
        <v>#REF!</v>
      </c>
      <c r="G74" s="7">
        <f t="shared" si="8"/>
        <v>0</v>
      </c>
      <c r="H74" s="7" t="e">
        <f t="shared" si="8"/>
        <v>#REF!</v>
      </c>
      <c r="I74" s="7">
        <f t="shared" si="8"/>
        <v>0</v>
      </c>
      <c r="J74" s="7" t="e">
        <f t="shared" si="8"/>
        <v>#REF!</v>
      </c>
      <c r="K74" s="7" t="e">
        <f t="shared" si="8"/>
        <v>#REF!</v>
      </c>
      <c r="L74" s="7" t="e">
        <f t="shared" si="8"/>
        <v>#REF!</v>
      </c>
      <c r="M74" s="7" t="e">
        <f t="shared" si="8"/>
        <v>#REF!</v>
      </c>
      <c r="N74" s="7" t="e">
        <f t="shared" si="8"/>
        <v>#REF!</v>
      </c>
      <c r="O74" s="7" t="e">
        <f t="shared" si="8"/>
        <v>#REF!</v>
      </c>
      <c r="P74" s="7" t="e">
        <f t="shared" si="8"/>
        <v>#REF!</v>
      </c>
      <c r="Q74" s="7" t="e">
        <f t="shared" si="8"/>
        <v>#REF!</v>
      </c>
      <c r="R74" s="7" t="e">
        <f t="shared" si="8"/>
        <v>#REF!</v>
      </c>
      <c r="S74" s="7" t="e">
        <f t="shared" si="8"/>
        <v>#REF!</v>
      </c>
      <c r="T74" s="7" t="e">
        <f t="shared" si="8"/>
        <v>#REF!</v>
      </c>
      <c r="U74" s="7" t="e">
        <f t="shared" si="8"/>
        <v>#REF!</v>
      </c>
      <c r="V74" s="7" t="e">
        <f t="shared" si="8"/>
        <v>#REF!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>
        <v>0</v>
      </c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</row>
    <row r="75" spans="1:56" ht="15.75" hidden="1">
      <c r="A75" s="26" t="s">
        <v>174</v>
      </c>
      <c r="B75" s="26" t="s">
        <v>175</v>
      </c>
      <c r="C75" s="7">
        <v>202</v>
      </c>
      <c r="E75" s="7">
        <v>202</v>
      </c>
      <c r="F75" s="7">
        <f t="shared" ref="F75:V75" si="9">F56/IF(F$61=0,1,F$62)</f>
        <v>50</v>
      </c>
      <c r="G75" s="7">
        <f t="shared" si="9"/>
        <v>50</v>
      </c>
      <c r="H75" s="7">
        <f t="shared" si="9"/>
        <v>25</v>
      </c>
      <c r="I75" s="7">
        <f t="shared" si="9"/>
        <v>50</v>
      </c>
      <c r="J75" s="7">
        <f t="shared" si="9"/>
        <v>168</v>
      </c>
      <c r="K75" s="7">
        <f t="shared" si="9"/>
        <v>31</v>
      </c>
      <c r="L75" s="7">
        <f t="shared" si="9"/>
        <v>93</v>
      </c>
      <c r="M75" s="7">
        <f t="shared" si="9"/>
        <v>48</v>
      </c>
      <c r="N75" s="7">
        <f t="shared" si="9"/>
        <v>151</v>
      </c>
      <c r="O75" s="7">
        <f t="shared" si="9"/>
        <v>151</v>
      </c>
      <c r="P75" s="7">
        <f t="shared" si="9"/>
        <v>151</v>
      </c>
      <c r="Q75" s="7">
        <f t="shared" si="9"/>
        <v>200</v>
      </c>
      <c r="R75" s="7">
        <f t="shared" si="9"/>
        <v>200</v>
      </c>
      <c r="S75" s="7">
        <f t="shared" si="9"/>
        <v>64</v>
      </c>
      <c r="T75" s="7">
        <f t="shared" si="9"/>
        <v>61</v>
      </c>
      <c r="U75" s="7">
        <f t="shared" si="9"/>
        <v>202</v>
      </c>
      <c r="V75" s="7">
        <f t="shared" si="9"/>
        <v>3</v>
      </c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>
        <v>202</v>
      </c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</row>
    <row r="76" spans="1:56" ht="15.75" hidden="1">
      <c r="A76" s="26" t="s">
        <v>176</v>
      </c>
      <c r="B76" s="41"/>
      <c r="C76" s="7">
        <v>22432</v>
      </c>
      <c r="E76" s="7">
        <v>22432</v>
      </c>
      <c r="F76" s="7" t="e">
        <f>F73*VLOOKUP('Single PLP'!F13,Cp2symbol,VLOOKUP('Single PLP'!F16,SISOMISO,2,FALSE),FALSE)</f>
        <v>#REF!</v>
      </c>
      <c r="G76" s="7" t="e">
        <f>G73*VLOOKUP('Single PLP'!G13,Cp2symbol,VLOOKUP('Single PLP'!G16,SISOMISO,2,FALSE),FALSE)</f>
        <v>#REF!</v>
      </c>
      <c r="H76" s="7" t="e">
        <f>H73*VLOOKUP('Single PLP'!H13,Cp2symbol,VLOOKUP('Single PLP'!H16,SISOMISO,2,FALSE),FALSE)</f>
        <v>#REF!</v>
      </c>
      <c r="I76" s="7" t="e">
        <f>I73*VLOOKUP('Single PLP'!I13,Cp2symbol,VLOOKUP('Single PLP'!I16,SISOMISO,2,FALSE),FALSE)</f>
        <v>#REF!</v>
      </c>
      <c r="J76" s="7" t="e">
        <f>J73*VLOOKUP('Single PLP'!J13,Cp2symbol,VLOOKUP('Single PLP'!J16,SISOMISO,2,FALSE),FALSE)</f>
        <v>#REF!</v>
      </c>
      <c r="K76" s="7" t="e">
        <f>K73*VLOOKUP('Single PLP'!K13,Cp2symbol,VLOOKUP('Single PLP'!K16,SISOMISO,2,FALSE),FALSE)</f>
        <v>#REF!</v>
      </c>
      <c r="L76" s="7" t="e">
        <f>L73*VLOOKUP('Single PLP'!L13,Cp2symbol,VLOOKUP('Single PLP'!L16,SISOMISO,2,FALSE),FALSE)</f>
        <v>#REF!</v>
      </c>
      <c r="M76" s="7" t="e">
        <f>M73*VLOOKUP('Single PLP'!M13,Cp2symbol,VLOOKUP('Single PLP'!M16,SISOMISO,2,FALSE),FALSE)</f>
        <v>#REF!</v>
      </c>
      <c r="N76" s="7" t="e">
        <f>N73*VLOOKUP('Single PLP'!N13,Cp2symbol,VLOOKUP('Single PLP'!N16,SISOMISO,2,FALSE),FALSE)</f>
        <v>#REF!</v>
      </c>
      <c r="O76" s="7" t="e">
        <f>O73*VLOOKUP('Single PLP'!O13,Cp2symbol,VLOOKUP('Single PLP'!O16,SISOMISO,2,FALSE),FALSE)</f>
        <v>#REF!</v>
      </c>
      <c r="P76" s="7" t="e">
        <f>P73*VLOOKUP('Single PLP'!P13,Cp2symbol,VLOOKUP('Single PLP'!P16,SISOMISO,2,FALSE),FALSE)</f>
        <v>#REF!</v>
      </c>
      <c r="Q76" s="7" t="e">
        <f>Q73*VLOOKUP('Single PLP'!Q13,Cp2symbol,VLOOKUP('Single PLP'!Q16,SISOMISO,2,FALSE),FALSE)</f>
        <v>#REF!</v>
      </c>
      <c r="R76" s="7" t="e">
        <f>R73*VLOOKUP('Single PLP'!R13,Cp2symbol,VLOOKUP('Single PLP'!R16,SISOMISO,2,FALSE),FALSE)</f>
        <v>#REF!</v>
      </c>
      <c r="S76" s="7" t="e">
        <f>S73*VLOOKUP('Single PLP'!S13,Cp2symbol,VLOOKUP('Single PLP'!S16,SISOMISO,2,FALSE),FALSE)</f>
        <v>#REF!</v>
      </c>
      <c r="T76" s="7" t="e">
        <f>T73*VLOOKUP('Single PLP'!T13,Cp2symbol,VLOOKUP('Single PLP'!T16,SISOMISO,2,FALSE),FALSE)</f>
        <v>#REF!</v>
      </c>
      <c r="U76" s="7" t="e">
        <f>U73*VLOOKUP('Single PLP'!U13,Cp2symbol,VLOOKUP('Single PLP'!U16,SISOMISO,2,FALSE),FALSE)</f>
        <v>#REF!</v>
      </c>
      <c r="V76" s="7" t="e">
        <f>V73*VLOOKUP('Single PLP'!V13,Cp2symbol,VLOOKUP('Single PLP'!V16,SISOMISO,2,FALSE),FALSE)</f>
        <v>#REF!</v>
      </c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>
        <v>22432</v>
      </c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1:56" ht="15.75" hidden="1">
      <c r="A77" s="26" t="s">
        <v>177</v>
      </c>
      <c r="B77" s="41"/>
      <c r="C77" s="7">
        <f>C15*27404</f>
        <v>1616836</v>
      </c>
      <c r="E77" s="7">
        <f>E15*27404</f>
        <v>1616836</v>
      </c>
      <c r="F77" s="7" t="e">
        <f t="shared" ref="F77:V77" si="10">(F15-F74)*(VLOOKUP(F13,Cdatasymbol,VLOOKUP(F22,PP,VLOOKUP(F21,BWT_EXT,2,FALSE),FALSE),FALSE)-VLOOKUP(F13,TR,VLOOKUP(F17,TR_subtable,2,FALSE),FALSE))</f>
        <v>#REF!</v>
      </c>
      <c r="G77" s="7" t="e">
        <f t="shared" si="10"/>
        <v>#REF!</v>
      </c>
      <c r="H77" s="7" t="e">
        <f t="shared" si="10"/>
        <v>#REF!</v>
      </c>
      <c r="I77" s="7" t="e">
        <f t="shared" si="10"/>
        <v>#REF!</v>
      </c>
      <c r="J77" s="7" t="e">
        <f t="shared" si="10"/>
        <v>#REF!</v>
      </c>
      <c r="K77" s="7" t="e">
        <f t="shared" si="10"/>
        <v>#REF!</v>
      </c>
      <c r="L77" s="7" t="e">
        <f t="shared" si="10"/>
        <v>#REF!</v>
      </c>
      <c r="M77" s="7" t="e">
        <f t="shared" si="10"/>
        <v>#REF!</v>
      </c>
      <c r="N77" s="7" t="e">
        <f t="shared" si="10"/>
        <v>#REF!</v>
      </c>
      <c r="O77" s="5" t="e">
        <f t="shared" si="10"/>
        <v>#REF!</v>
      </c>
      <c r="P77" s="7" t="e">
        <f t="shared" si="10"/>
        <v>#REF!</v>
      </c>
      <c r="Q77" s="7" t="e">
        <f t="shared" si="10"/>
        <v>#REF!</v>
      </c>
      <c r="R77" s="7" t="e">
        <f t="shared" si="10"/>
        <v>#REF!</v>
      </c>
      <c r="S77" s="7" t="e">
        <f t="shared" si="10"/>
        <v>#REF!</v>
      </c>
      <c r="T77" s="7" t="e">
        <f t="shared" si="10"/>
        <v>#REF!</v>
      </c>
      <c r="U77" s="7" t="e">
        <f t="shared" si="10"/>
        <v>#REF!</v>
      </c>
      <c r="V77" s="7" t="e">
        <f t="shared" si="10"/>
        <v>#REF!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>
        <f>AQ15*27404</f>
        <v>1616836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</row>
    <row r="78" spans="1:56" ht="15.75" hidden="1">
      <c r="A78" s="26" t="s">
        <v>178</v>
      </c>
      <c r="B78" s="41"/>
      <c r="C78" s="7">
        <v>0</v>
      </c>
      <c r="E78" s="7">
        <v>0</v>
      </c>
      <c r="F78" s="7" t="e">
        <f>F74*(VLOOKUP(F13,Cfcsymbol,VLOOKUP(F22,PP,VLOOKUP(F21,BWT_EXT,2,FALSE),FALSE),FALSE)-VLOOKUP(F13,TR,VLOOKUP(F17,TR_subtable,2,FALSE),FALSE))</f>
        <v>#REF!</v>
      </c>
      <c r="G78" s="7" t="e">
        <f>G74*(VLOOKUP(G13,Cfcsymbol,VLOOKUP(G22,PP,VLOOKUP(G21,BWT_EXT,2,FALSE),FALSE),FALSE)-VLOOKUP(G13,TR,VLOOKUP(G17,TR_subtable,2,FALSE),FALSE))</f>
        <v>#REF!</v>
      </c>
      <c r="H78" s="7" t="e">
        <f>H74*(VLOOKUP('Single PLP'!H13,Cfcsymbol,VLOOKUP('Single PLP'!H22,PP,VLOOKUP('Single PLP'!H21,BWT_EXT,2,FALSE),FALSE),FALSE)-VLOOKUP('Single PLP'!H13,TR,VLOOKUP('Single PLP'!H17,TR_subtable,2,FALSE),FALSE))</f>
        <v>#REF!</v>
      </c>
      <c r="I78" s="7" t="e">
        <f>I74*(VLOOKUP(I13,Cfcsymbol,VLOOKUP(I22,PP,VLOOKUP(I21,BWT_EXT,2,FALSE),FALSE),FALSE)-VLOOKUP(I13,TR,VLOOKUP(I17,TR_subtable,2,FALSE),FALSE))</f>
        <v>#REF!</v>
      </c>
      <c r="J78" s="7" t="e">
        <f>J74*(VLOOKUP(J13,Cfcsymbol,VLOOKUP(J22,PP,VLOOKUP(J21,BWT_EXT,2,FALSE),FALSE),FALSE)-VLOOKUP(J13,TR,VLOOKUP(J17,TR_subtable,2,FALSE),FALSE))</f>
        <v>#REF!</v>
      </c>
      <c r="K78" s="7" t="e">
        <f>K74*(VLOOKUP(K13,Cfcsymbol,VLOOKUP(K22,PP,VLOOKUP(K21,BWT_EXT,2,FALSE),FALSE),FALSE)-VLOOKUP(K13,TR,VLOOKUP(K17,TR_subtable,2,FALSE),FALSE))</f>
        <v>#REF!</v>
      </c>
      <c r="L78" s="7" t="e">
        <f>L74*(VLOOKUP(L13,Cfcsymbol,VLOOKUP(L22,PP,VLOOKUP(L21,BWT_EXT,2,FALSE),FALSE),FALSE)-VLOOKUP(L13,TR,VLOOKUP(L17,TR_subtable,2,FALSE),FALSE))</f>
        <v>#REF!</v>
      </c>
      <c r="M78" s="7" t="e">
        <f>M74*(VLOOKUP(M13,Cfcsymbol,VLOOKUP(M22,PP,VLOOKUP(M21,BWT_EXT,2,FALSE),FALSE),FALSE)-VLOOKUP(M13,TR,VLOOKUP(M17,TR_subtable,2,FALSE),FALSE))</f>
        <v>#REF!</v>
      </c>
      <c r="N78" s="7" t="e">
        <f>N74*(VLOOKUP('Single PLP'!N13,Cfcsymbol,VLOOKUP('Single PLP'!N22,PP,VLOOKUP('Single PLP'!N21,BWT_EXT,2,FALSE),FALSE),FALSE)-VLOOKUP('Single PLP'!N13,TR,VLOOKUP('Single PLP'!N17,TR_subtable,2,FALSE),FALSE))</f>
        <v>#REF!</v>
      </c>
      <c r="O78" s="7" t="e">
        <f>O74*(VLOOKUP('Single PLP'!O13,Cfcsymbol,VLOOKUP('Single PLP'!O22,PP,VLOOKUP('Single PLP'!O21,BWT_EXT,2,FALSE),FALSE),FALSE)-VLOOKUP('Single PLP'!O13,TR,VLOOKUP('Single PLP'!O17,TR_subtable,2,FALSE),FALSE))</f>
        <v>#REF!</v>
      </c>
      <c r="P78" s="7" t="e">
        <f>P74*(VLOOKUP('Single PLP'!P13,Cfcsymbol,VLOOKUP('Single PLP'!P22,PP,VLOOKUP('Single PLP'!P21,BWT_EXT,2,FALSE),FALSE),FALSE)-VLOOKUP('Single PLP'!P13,TR,VLOOKUP('Single PLP'!P17,TR_subtable,2,FALSE),FALSE))</f>
        <v>#REF!</v>
      </c>
      <c r="Q78" s="7" t="e">
        <f>Q74*(VLOOKUP('Single PLP'!Q13,Cfcsymbol,VLOOKUP('Single PLP'!Q22,PP,VLOOKUP('Single PLP'!Q21,BWT_EXT,2,FALSE),FALSE),FALSE)-VLOOKUP('Single PLP'!Q13,TR,VLOOKUP('Single PLP'!Q17,TR_subtable,2,FALSE),FALSE))</f>
        <v>#REF!</v>
      </c>
      <c r="R78" s="7" t="e">
        <f>R74*(VLOOKUP('Single PLP'!R13,Cfcsymbol,VLOOKUP('Single PLP'!R22,PP,VLOOKUP('Single PLP'!R21,BWT_EXT,2,FALSE),FALSE),FALSE)-VLOOKUP('Single PLP'!R13,TR,VLOOKUP('Single PLP'!R17,TR_subtable,2,FALSE),FALSE))</f>
        <v>#REF!</v>
      </c>
      <c r="S78" s="7" t="e">
        <f>S74*(VLOOKUP('Single PLP'!S13,Cfcsymbol,VLOOKUP('Single PLP'!S22,PP,VLOOKUP('Single PLP'!S21,BWT_EXT,2,FALSE),FALSE),FALSE)-VLOOKUP('Single PLP'!S13,TR,VLOOKUP('Single PLP'!S17,TR_subtable,2,FALSE),FALSE))</f>
        <v>#REF!</v>
      </c>
      <c r="T78" s="7" t="e">
        <f>T74*(VLOOKUP('Single PLP'!T13,Cfcsymbol,VLOOKUP('Single PLP'!T22,PP,VLOOKUP('Single PLP'!T21,BWT_EXT,2,FALSE),FALSE),FALSE)-VLOOKUP('Single PLP'!T13,TR,VLOOKUP('Single PLP'!T17,TR_subtable,2,FALSE),FALSE))</f>
        <v>#REF!</v>
      </c>
      <c r="U78" s="7" t="e">
        <f>U74*(VLOOKUP('Single PLP'!U13,Cfcsymbol,VLOOKUP('Single PLP'!U22,PP,VLOOKUP('Single PLP'!U21,BWT_EXT,2,FALSE),FALSE),FALSE)-VLOOKUP('Single PLP'!U13,TR,VLOOKUP('Single PLP'!U17,TR_subtable,2,FALSE),FALSE))</f>
        <v>#REF!</v>
      </c>
      <c r="V78" s="7" t="e">
        <f>V74*(VLOOKUP('Single PLP'!V13,Cfcsymbol,VLOOKUP('Single PLP'!V22,PP,VLOOKUP('Single PLP'!V21,BWT_EXT,2,FALSE),FALSE),FALSE)-VLOOKUP('Single PLP'!V13,TR,VLOOKUP('Single PLP'!V17,TR_subtable,2,FALSE),FALSE))</f>
        <v>#REF!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>
        <v>0</v>
      </c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</row>
    <row r="79" spans="1:56" ht="15.75" hidden="1">
      <c r="A79" s="26" t="s">
        <v>179</v>
      </c>
      <c r="B79" s="26"/>
      <c r="C79" s="7">
        <f>SUM(C76:C78)</f>
        <v>1639268</v>
      </c>
      <c r="E79" s="7">
        <f t="shared" ref="E79:V79" si="11">SUM(E76:E78)</f>
        <v>1639268</v>
      </c>
      <c r="F79" s="7" t="e">
        <f t="shared" si="11"/>
        <v>#REF!</v>
      </c>
      <c r="G79" s="7" t="e">
        <f t="shared" si="11"/>
        <v>#REF!</v>
      </c>
      <c r="H79" s="7" t="e">
        <f t="shared" si="11"/>
        <v>#REF!</v>
      </c>
      <c r="I79" s="7" t="e">
        <f t="shared" si="11"/>
        <v>#REF!</v>
      </c>
      <c r="J79" s="7" t="e">
        <f t="shared" si="11"/>
        <v>#REF!</v>
      </c>
      <c r="K79" s="7" t="e">
        <f t="shared" si="11"/>
        <v>#REF!</v>
      </c>
      <c r="L79" s="7" t="e">
        <f t="shared" si="11"/>
        <v>#REF!</v>
      </c>
      <c r="M79" s="7" t="e">
        <f t="shared" si="11"/>
        <v>#REF!</v>
      </c>
      <c r="N79" s="7" t="e">
        <f t="shared" si="11"/>
        <v>#REF!</v>
      </c>
      <c r="O79" s="7" t="e">
        <f t="shared" si="11"/>
        <v>#REF!</v>
      </c>
      <c r="P79" s="7" t="e">
        <f t="shared" si="11"/>
        <v>#REF!</v>
      </c>
      <c r="Q79" s="7" t="e">
        <f t="shared" si="11"/>
        <v>#REF!</v>
      </c>
      <c r="R79" s="7" t="e">
        <f t="shared" si="11"/>
        <v>#REF!</v>
      </c>
      <c r="S79" s="7" t="e">
        <f t="shared" si="11"/>
        <v>#REF!</v>
      </c>
      <c r="T79" s="7" t="e">
        <f t="shared" si="11"/>
        <v>#REF!</v>
      </c>
      <c r="U79" s="7" t="e">
        <f t="shared" si="11"/>
        <v>#REF!</v>
      </c>
      <c r="V79" s="7" t="e">
        <f t="shared" si="11"/>
        <v>#REF!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>
        <f>SUM(AQ76:AQ78)</f>
        <v>1639268</v>
      </c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</row>
    <row r="80" spans="1:56" ht="15.75" hidden="1">
      <c r="A80" s="31" t="s">
        <v>180</v>
      </c>
      <c r="B80" s="42">
        <v>68</v>
      </c>
      <c r="C80" s="7">
        <v>68</v>
      </c>
      <c r="E80" s="7">
        <v>68</v>
      </c>
      <c r="F80" s="7">
        <f t="shared" ref="F80:V80" si="12">IF(F61=0,IF(MOD(F56,F62)=0,F56/F62,FLOOR(F56/F62,1)+1),F56)</f>
        <v>50</v>
      </c>
      <c r="G80" s="7">
        <f t="shared" si="12"/>
        <v>17</v>
      </c>
      <c r="H80" s="7">
        <f t="shared" si="12"/>
        <v>50</v>
      </c>
      <c r="I80" s="7">
        <f t="shared" si="12"/>
        <v>17</v>
      </c>
      <c r="J80" s="7">
        <f t="shared" si="12"/>
        <v>56</v>
      </c>
      <c r="K80" s="7">
        <f t="shared" si="12"/>
        <v>11</v>
      </c>
      <c r="L80" s="7">
        <f t="shared" si="12"/>
        <v>31</v>
      </c>
      <c r="M80" s="7">
        <f t="shared" si="12"/>
        <v>16</v>
      </c>
      <c r="N80" s="7">
        <f t="shared" si="12"/>
        <v>51</v>
      </c>
      <c r="O80" s="7">
        <f t="shared" si="12"/>
        <v>51</v>
      </c>
      <c r="P80" s="7">
        <f t="shared" si="12"/>
        <v>51</v>
      </c>
      <c r="Q80" s="7">
        <f t="shared" si="12"/>
        <v>67</v>
      </c>
      <c r="R80" s="7">
        <f t="shared" si="12"/>
        <v>67</v>
      </c>
      <c r="S80" s="7">
        <f t="shared" si="12"/>
        <v>64</v>
      </c>
      <c r="T80" s="7">
        <f t="shared" si="12"/>
        <v>61</v>
      </c>
      <c r="U80" s="7">
        <f t="shared" si="12"/>
        <v>68</v>
      </c>
      <c r="V80" s="7">
        <f t="shared" si="12"/>
        <v>3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>
        <v>68</v>
      </c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</row>
    <row r="81" spans="1:56" ht="15.75" hidden="1">
      <c r="A81" s="31" t="s">
        <v>181</v>
      </c>
      <c r="B81" s="26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30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</row>
    <row r="82" spans="1:56" ht="15.75" hidden="1">
      <c r="A82" s="31" t="s">
        <v>182</v>
      </c>
      <c r="B82" s="26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7"/>
      <c r="Z82" s="7"/>
      <c r="AA82" s="7"/>
      <c r="AB82" s="43"/>
      <c r="AC82" s="43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43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</row>
    <row r="83" spans="1:56" ht="15.75" hidden="1">
      <c r="A83" s="31" t="s">
        <v>183</v>
      </c>
      <c r="B83" s="26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7"/>
      <c r="AA83" s="7"/>
      <c r="AB83" s="43"/>
      <c r="AC83" s="43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43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</row>
    <row r="84" spans="1:56" ht="15.75" hidden="1">
      <c r="A84" s="31" t="s">
        <v>184</v>
      </c>
      <c r="B84" s="26" t="s">
        <v>185</v>
      </c>
      <c r="C84" s="7">
        <f>C80*64800/8</f>
        <v>550800</v>
      </c>
      <c r="E84" s="7">
        <f>E80*64800/8</f>
        <v>550800</v>
      </c>
      <c r="F84" s="7" t="e">
        <f>F80*F54/VLOOKUP('Single PLP'!F$52,ConstellationOrder,2,FALSE)</f>
        <v>#REF!</v>
      </c>
      <c r="G84" s="7" t="e">
        <f>G80*G54/VLOOKUP('Single PLP'!G$52,ConstellationOrder,2,FALSE)</f>
        <v>#REF!</v>
      </c>
      <c r="H84" s="7" t="e">
        <f>H80*H$54/VLOOKUP('Single PLP'!H$52,ConstellationOrder,2,FALSE)</f>
        <v>#REF!</v>
      </c>
      <c r="I84" s="7" t="e">
        <f>I80*I54/VLOOKUP('Single PLP'!I$52,ConstellationOrder,2,FALSE)</f>
        <v>#REF!</v>
      </c>
      <c r="J84" s="7" t="e">
        <f>J80*J54/VLOOKUP('Single PLP'!J$52,ConstellationOrder,2,FALSE)</f>
        <v>#REF!</v>
      </c>
      <c r="K84" s="7" t="e">
        <f>K80*K54/VLOOKUP('Single PLP'!K$52,ConstellationOrder,2,FALSE)</f>
        <v>#REF!</v>
      </c>
      <c r="L84" s="7" t="e">
        <f>L80*L54/VLOOKUP('Single PLP'!L$52,ConstellationOrder,2,FALSE)</f>
        <v>#REF!</v>
      </c>
      <c r="M84" s="7" t="e">
        <f>M80*M54/VLOOKUP('Single PLP'!M$52,ConstellationOrder,2,FALSE)</f>
        <v>#REF!</v>
      </c>
      <c r="N84" s="7" t="e">
        <f>N80*N$54/VLOOKUP('Single PLP'!N$52,ConstellationOrder,2,FALSE)</f>
        <v>#REF!</v>
      </c>
      <c r="O84" s="7" t="e">
        <f>O80*O$54/VLOOKUP('Single PLP'!O$52,ConstellationOrder,2,FALSE)</f>
        <v>#REF!</v>
      </c>
      <c r="P84" s="7" t="e">
        <f>P80*P$54/VLOOKUP('Single PLP'!P$52,ConstellationOrder,2,FALSE)</f>
        <v>#REF!</v>
      </c>
      <c r="Q84" s="7" t="e">
        <f>Q80*Q$54/VLOOKUP('Single PLP'!Q$52,ConstellationOrder,2,FALSE)</f>
        <v>#REF!</v>
      </c>
      <c r="R84" s="7" t="e">
        <f>R80*R$54/VLOOKUP('Single PLP'!R$52,ConstellationOrder,2,FALSE)</f>
        <v>#REF!</v>
      </c>
      <c r="S84" s="7" t="e">
        <f>S80*S$54/VLOOKUP('Single PLP'!S$52,ConstellationOrder,2,FALSE)</f>
        <v>#REF!</v>
      </c>
      <c r="T84" s="7" t="e">
        <f>T80*T$54/VLOOKUP('Single PLP'!T$52,ConstellationOrder,2,FALSE)</f>
        <v>#REF!</v>
      </c>
      <c r="U84" s="7" t="e">
        <f>U80*U$54/VLOOKUP('Single PLP'!U$52,ConstellationOrder,2,FALSE)</f>
        <v>#REF!</v>
      </c>
      <c r="V84" s="7" t="e">
        <f>V80*V$54/VLOOKUP('Single PLP'!V$52,ConstellationOrder,2,FALSE)</f>
        <v>#REF!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>
        <f>AQ80*64800/8</f>
        <v>550800</v>
      </c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</row>
    <row r="85" spans="1:56" ht="15.75" hidden="1">
      <c r="A85" s="31" t="s">
        <v>186</v>
      </c>
      <c r="B85" s="2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30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</row>
    <row r="86" spans="1:56" ht="15.75" hidden="1">
      <c r="A86" s="31" t="s">
        <v>187</v>
      </c>
      <c r="B86" s="26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7"/>
      <c r="Z86" s="7"/>
      <c r="AA86" s="7"/>
      <c r="AB86" s="43"/>
      <c r="AC86" s="43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43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</row>
    <row r="87" spans="1:56" ht="15.75" hidden="1">
      <c r="A87" s="31" t="s">
        <v>188</v>
      </c>
      <c r="B87" s="26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7"/>
      <c r="AA87" s="7"/>
      <c r="AB87" s="30"/>
      <c r="AC87" s="30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30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</row>
    <row r="88" spans="1:56" ht="15.75" hidden="1">
      <c r="A88" s="31" t="s">
        <v>189</v>
      </c>
      <c r="B88" s="26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7"/>
      <c r="AA88" s="43"/>
      <c r="AB88" s="43"/>
      <c r="AC88" s="43"/>
      <c r="AD88" s="36"/>
      <c r="AE88" s="7"/>
      <c r="AF88" s="36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43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</row>
    <row r="89" spans="1:56" ht="31.5" hidden="1">
      <c r="A89" s="26"/>
      <c r="B89" s="31" t="s">
        <v>190</v>
      </c>
      <c r="C89" s="7">
        <f t="shared" ref="C89:AQ89" si="13">2^19+2^15</f>
        <v>557056</v>
      </c>
      <c r="E89" s="7">
        <f t="shared" si="13"/>
        <v>557056</v>
      </c>
      <c r="F89" s="7">
        <f t="shared" si="13"/>
        <v>557056</v>
      </c>
      <c r="G89" s="7">
        <f t="shared" si="13"/>
        <v>557056</v>
      </c>
      <c r="H89" s="7">
        <f t="shared" si="13"/>
        <v>557056</v>
      </c>
      <c r="I89" s="7">
        <f t="shared" si="13"/>
        <v>557056</v>
      </c>
      <c r="J89" s="7">
        <f t="shared" si="13"/>
        <v>557056</v>
      </c>
      <c r="K89" s="7">
        <f t="shared" si="13"/>
        <v>557056</v>
      </c>
      <c r="L89" s="7">
        <f t="shared" si="13"/>
        <v>557056</v>
      </c>
      <c r="M89" s="7">
        <f t="shared" si="13"/>
        <v>557056</v>
      </c>
      <c r="N89" s="7">
        <f t="shared" si="13"/>
        <v>557056</v>
      </c>
      <c r="O89" s="7">
        <f t="shared" si="13"/>
        <v>557056</v>
      </c>
      <c r="P89" s="7">
        <f t="shared" si="13"/>
        <v>557056</v>
      </c>
      <c r="Q89" s="7">
        <f t="shared" si="13"/>
        <v>557056</v>
      </c>
      <c r="R89" s="7">
        <f t="shared" si="13"/>
        <v>557056</v>
      </c>
      <c r="S89" s="7">
        <f t="shared" si="13"/>
        <v>557056</v>
      </c>
      <c r="T89" s="7">
        <f t="shared" si="13"/>
        <v>557056</v>
      </c>
      <c r="U89" s="7">
        <f t="shared" si="13"/>
        <v>557056</v>
      </c>
      <c r="V89" s="7">
        <f t="shared" si="13"/>
        <v>557056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>
        <f t="shared" si="13"/>
        <v>557056</v>
      </c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</row>
    <row r="90" spans="1:56" ht="15.75" hidden="1">
      <c r="A90" s="31" t="s">
        <v>191</v>
      </c>
      <c r="B90" s="26"/>
      <c r="C90" s="7" t="s">
        <v>192</v>
      </c>
      <c r="E90" s="7" t="s">
        <v>192</v>
      </c>
      <c r="F90" s="7">
        <v>1840</v>
      </c>
      <c r="G90" s="7">
        <v>1840</v>
      </c>
      <c r="H90" s="7">
        <v>1840</v>
      </c>
      <c r="I90" s="7">
        <v>1840</v>
      </c>
      <c r="J90" s="7">
        <v>1840</v>
      </c>
      <c r="K90" s="7">
        <v>1840</v>
      </c>
      <c r="L90" s="7">
        <v>1840</v>
      </c>
      <c r="M90" s="7">
        <v>1840</v>
      </c>
      <c r="N90" s="7">
        <v>1840</v>
      </c>
      <c r="O90" s="7">
        <v>1840</v>
      </c>
      <c r="P90" s="7">
        <v>1840</v>
      </c>
      <c r="Q90" s="7">
        <v>1840</v>
      </c>
      <c r="R90" s="7">
        <v>1840</v>
      </c>
      <c r="S90" s="7">
        <v>1840</v>
      </c>
      <c r="T90" s="7">
        <v>1840</v>
      </c>
      <c r="U90" s="7">
        <v>1840</v>
      </c>
      <c r="V90" s="7">
        <v>1840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 t="s">
        <v>192</v>
      </c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</row>
    <row r="91" spans="1:56" ht="15.75" hidden="1">
      <c r="A91" s="31" t="s">
        <v>193</v>
      </c>
      <c r="B91" s="26"/>
      <c r="C91" s="7" t="s">
        <v>194</v>
      </c>
      <c r="E91" s="7" t="s">
        <v>194</v>
      </c>
      <c r="F91" s="44" t="e">
        <f t="shared" ref="F91:V91" si="14">F108</f>
        <v>#REF!</v>
      </c>
      <c r="G91" s="44" t="e">
        <f t="shared" si="14"/>
        <v>#REF!</v>
      </c>
      <c r="H91" s="44" t="e">
        <f t="shared" si="14"/>
        <v>#REF!</v>
      </c>
      <c r="I91" s="44" t="e">
        <f t="shared" si="14"/>
        <v>#REF!</v>
      </c>
      <c r="J91" s="44" t="e">
        <f t="shared" si="14"/>
        <v>#REF!</v>
      </c>
      <c r="K91" s="44" t="e">
        <f t="shared" si="14"/>
        <v>#REF!</v>
      </c>
      <c r="L91" s="44" t="e">
        <f t="shared" si="14"/>
        <v>#REF!</v>
      </c>
      <c r="M91" s="44" t="e">
        <f t="shared" si="14"/>
        <v>#REF!</v>
      </c>
      <c r="N91" s="44" t="e">
        <f t="shared" si="14"/>
        <v>#REF!</v>
      </c>
      <c r="O91" s="44" t="e">
        <f t="shared" si="14"/>
        <v>#REF!</v>
      </c>
      <c r="P91" s="44" t="e">
        <f t="shared" si="14"/>
        <v>#REF!</v>
      </c>
      <c r="Q91" s="44" t="e">
        <f t="shared" si="14"/>
        <v>#REF!</v>
      </c>
      <c r="R91" s="44" t="e">
        <f t="shared" si="14"/>
        <v>#REF!</v>
      </c>
      <c r="S91" s="44" t="e">
        <f t="shared" si="14"/>
        <v>#REF!</v>
      </c>
      <c r="T91" s="44" t="e">
        <f t="shared" si="14"/>
        <v>#REF!</v>
      </c>
      <c r="U91" s="44" t="e">
        <f t="shared" si="14"/>
        <v>#REF!</v>
      </c>
      <c r="V91" s="44" t="e">
        <f t="shared" si="14"/>
        <v>#REF!</v>
      </c>
      <c r="W91" s="44"/>
      <c r="X91" s="44"/>
      <c r="Y91" s="44"/>
      <c r="Z91" s="44"/>
      <c r="AA91" s="44"/>
      <c r="AB91" s="44"/>
      <c r="AC91" s="44"/>
      <c r="AD91" s="44"/>
      <c r="AE91" s="7"/>
      <c r="AF91" s="44"/>
      <c r="AG91" s="44"/>
      <c r="AH91" s="44"/>
      <c r="AI91" s="44"/>
      <c r="AJ91" s="7"/>
      <c r="AK91" s="7"/>
      <c r="AL91" s="7"/>
      <c r="AM91" s="7"/>
      <c r="AN91" s="7"/>
      <c r="AO91" s="7"/>
      <c r="AP91" s="7"/>
      <c r="AQ91" s="7" t="s">
        <v>194</v>
      </c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</row>
    <row r="92" spans="1:56" ht="15.75" hidden="1">
      <c r="A92" s="31" t="s">
        <v>195</v>
      </c>
      <c r="B92" s="26" t="s">
        <v>196</v>
      </c>
      <c r="C92" s="7">
        <f>C56*C54/8</f>
        <v>1636200</v>
      </c>
      <c r="E92" s="7">
        <f>E56*E54/8</f>
        <v>1636200</v>
      </c>
      <c r="F92" s="7" t="e">
        <f>F75*F54/VLOOKUP('Single PLP'!F52,ConstellationOrder,2,FALSE)</f>
        <v>#REF!</v>
      </c>
      <c r="G92" s="7" t="e">
        <f>G75*G54/VLOOKUP('Single PLP'!G52,ConstellationOrder,2,FALSE)</f>
        <v>#REF!</v>
      </c>
      <c r="H92" s="7" t="e">
        <f>H75*H54/VLOOKUP('Single PLP'!H52,ConstellationOrder,2,FALSE)</f>
        <v>#REF!</v>
      </c>
      <c r="I92" s="7" t="e">
        <f>I75*I54/VLOOKUP('Single PLP'!I52,ConstellationOrder,2,FALSE)</f>
        <v>#REF!</v>
      </c>
      <c r="J92" s="7" t="e">
        <f>J75*J54/VLOOKUP('Single PLP'!J52,ConstellationOrder,2,FALSE)</f>
        <v>#REF!</v>
      </c>
      <c r="K92" s="7" t="e">
        <f>K75*K54/VLOOKUP('Single PLP'!K52,ConstellationOrder,2,FALSE)</f>
        <v>#REF!</v>
      </c>
      <c r="L92" s="7" t="e">
        <f>L75*L54/VLOOKUP('Single PLP'!L52,ConstellationOrder,2,FALSE)</f>
        <v>#REF!</v>
      </c>
      <c r="M92" s="7" t="e">
        <f>M75*M54/VLOOKUP('Single PLP'!M52,ConstellationOrder,2,FALSE)</f>
        <v>#REF!</v>
      </c>
      <c r="N92" s="7" t="e">
        <f>N75*N54/VLOOKUP('Single PLP'!N52,ConstellationOrder,2,FALSE)</f>
        <v>#REF!</v>
      </c>
      <c r="O92" s="45" t="e">
        <f>O75*O54/VLOOKUP('Single PLP'!O52,ConstellationOrder,2,FALSE)</f>
        <v>#REF!</v>
      </c>
      <c r="P92" s="7" t="e">
        <f>P75*P54/VLOOKUP('Single PLP'!P52,ConstellationOrder,2,FALSE)</f>
        <v>#REF!</v>
      </c>
      <c r="Q92" s="7" t="e">
        <f>Q75*Q54/VLOOKUP('Single PLP'!Q52,ConstellationOrder,2,FALSE)</f>
        <v>#REF!</v>
      </c>
      <c r="R92" s="7" t="e">
        <f>R75*R54/VLOOKUP('Single PLP'!R52,ConstellationOrder,2,FALSE)</f>
        <v>#REF!</v>
      </c>
      <c r="S92" s="7" t="e">
        <f>S75*S54/VLOOKUP('Single PLP'!S52,ConstellationOrder,2,FALSE)</f>
        <v>#REF!</v>
      </c>
      <c r="T92" s="7" t="e">
        <f>T75*T54/VLOOKUP('Single PLP'!T52,ConstellationOrder,2,FALSE)</f>
        <v>#REF!</v>
      </c>
      <c r="U92" s="7" t="e">
        <f>U75*U54/VLOOKUP('Single PLP'!U52,ConstellationOrder,2,FALSE)</f>
        <v>#REF!</v>
      </c>
      <c r="V92" s="7" t="e">
        <f>V75*V54/VLOOKUP('Single PLP'!V52,ConstellationOrder,2,FALSE)</f>
        <v>#REF!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>
        <f>AQ56*AQ54/8</f>
        <v>1636200</v>
      </c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</row>
    <row r="93" spans="1:56" ht="15.75" hidden="1">
      <c r="A93" s="31" t="s">
        <v>197</v>
      </c>
      <c r="B93" s="26" t="s">
        <v>198</v>
      </c>
      <c r="C93" s="7">
        <v>978</v>
      </c>
      <c r="E93" s="7">
        <v>978</v>
      </c>
      <c r="F93" s="7" t="e">
        <f t="shared" ref="F93:V93" si="15">F79-F90-F91-F92</f>
        <v>#REF!</v>
      </c>
      <c r="G93" s="7" t="e">
        <f t="shared" si="15"/>
        <v>#REF!</v>
      </c>
      <c r="H93" s="7" t="e">
        <f t="shared" si="15"/>
        <v>#REF!</v>
      </c>
      <c r="I93" s="7" t="e">
        <f t="shared" si="15"/>
        <v>#REF!</v>
      </c>
      <c r="J93" s="7" t="e">
        <f t="shared" si="15"/>
        <v>#REF!</v>
      </c>
      <c r="K93" s="7" t="e">
        <f t="shared" si="15"/>
        <v>#REF!</v>
      </c>
      <c r="L93" s="7" t="e">
        <f t="shared" si="15"/>
        <v>#REF!</v>
      </c>
      <c r="M93" s="7" t="e">
        <f t="shared" si="15"/>
        <v>#REF!</v>
      </c>
      <c r="N93" s="7" t="e">
        <f t="shared" si="15"/>
        <v>#REF!</v>
      </c>
      <c r="O93" s="5" t="e">
        <f t="shared" si="15"/>
        <v>#REF!</v>
      </c>
      <c r="P93" s="7" t="e">
        <f t="shared" si="15"/>
        <v>#REF!</v>
      </c>
      <c r="Q93" s="7" t="e">
        <f t="shared" si="15"/>
        <v>#REF!</v>
      </c>
      <c r="R93" s="7" t="e">
        <f t="shared" si="15"/>
        <v>#REF!</v>
      </c>
      <c r="S93" s="7" t="e">
        <f t="shared" si="15"/>
        <v>#REF!</v>
      </c>
      <c r="T93" s="7" t="e">
        <f t="shared" si="15"/>
        <v>#REF!</v>
      </c>
      <c r="U93" s="7" t="e">
        <f t="shared" si="15"/>
        <v>#REF!</v>
      </c>
      <c r="V93" s="7" t="e">
        <f t="shared" si="15"/>
        <v>#REF!</v>
      </c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>
        <v>978</v>
      </c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</row>
    <row r="94" spans="1:56" ht="15.75" hidden="1">
      <c r="A94" s="26" t="s">
        <v>199</v>
      </c>
      <c r="B94" s="26"/>
      <c r="C94" s="7" t="s">
        <v>200</v>
      </c>
      <c r="E94" s="7" t="s">
        <v>200</v>
      </c>
      <c r="F94" s="7" t="s">
        <v>200</v>
      </c>
      <c r="G94" s="7" t="s">
        <v>200</v>
      </c>
      <c r="H94" s="7" t="s">
        <v>200</v>
      </c>
      <c r="I94" s="7" t="s">
        <v>200</v>
      </c>
      <c r="J94" s="7" t="s">
        <v>200</v>
      </c>
      <c r="K94" s="7" t="s">
        <v>200</v>
      </c>
      <c r="L94" s="7" t="s">
        <v>200</v>
      </c>
      <c r="M94" s="7" t="s">
        <v>200</v>
      </c>
      <c r="N94" s="7" t="s">
        <v>200</v>
      </c>
      <c r="O94" s="7" t="s">
        <v>200</v>
      </c>
      <c r="P94" s="7" t="s">
        <v>200</v>
      </c>
      <c r="Q94" s="7" t="s">
        <v>200</v>
      </c>
      <c r="R94" s="7" t="s">
        <v>200</v>
      </c>
      <c r="S94" s="7" t="s">
        <v>200</v>
      </c>
      <c r="T94" s="7" t="s">
        <v>200</v>
      </c>
      <c r="U94" s="7" t="s">
        <v>200</v>
      </c>
      <c r="V94" s="7" t="s">
        <v>200</v>
      </c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 t="s">
        <v>200</v>
      </c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</row>
    <row r="95" spans="1:56" hidden="1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</row>
    <row r="96" spans="1:56" ht="15.75" hidden="1">
      <c r="A96" s="31" t="s">
        <v>201</v>
      </c>
      <c r="F96" s="46">
        <f t="shared" ref="F96:V96" si="16">(67+89*F$35+34*(IF(F$25="Yes",1,0))+35*F$36+32*F$37)</f>
        <v>191</v>
      </c>
      <c r="G96" s="46">
        <f t="shared" si="16"/>
        <v>191</v>
      </c>
      <c r="H96" s="46">
        <f t="shared" si="16"/>
        <v>191</v>
      </c>
      <c r="I96" s="46">
        <f t="shared" si="16"/>
        <v>191</v>
      </c>
      <c r="J96" s="46">
        <f t="shared" si="16"/>
        <v>191</v>
      </c>
      <c r="K96" s="46">
        <f t="shared" si="16"/>
        <v>191</v>
      </c>
      <c r="L96" s="46">
        <f t="shared" si="16"/>
        <v>191</v>
      </c>
      <c r="M96" s="46">
        <f t="shared" si="16"/>
        <v>191</v>
      </c>
      <c r="N96" s="46">
        <f t="shared" si="16"/>
        <v>191</v>
      </c>
      <c r="O96" s="46">
        <f t="shared" si="16"/>
        <v>191</v>
      </c>
      <c r="P96" s="46">
        <f t="shared" si="16"/>
        <v>191</v>
      </c>
      <c r="Q96" s="46">
        <f t="shared" si="16"/>
        <v>191</v>
      </c>
      <c r="R96" s="46">
        <f t="shared" si="16"/>
        <v>191</v>
      </c>
      <c r="S96" s="46">
        <f t="shared" si="16"/>
        <v>191</v>
      </c>
      <c r="T96" s="46">
        <f t="shared" si="16"/>
        <v>191</v>
      </c>
      <c r="U96" s="46">
        <f t="shared" si="16"/>
        <v>191</v>
      </c>
      <c r="V96" s="46">
        <f t="shared" si="16"/>
        <v>225</v>
      </c>
      <c r="W96" s="46"/>
      <c r="X96" s="46"/>
      <c r="Y96" s="46"/>
      <c r="Z96" s="46"/>
      <c r="AA96" s="46"/>
      <c r="AB96" s="46"/>
      <c r="AC96" s="46"/>
      <c r="AD96" s="46"/>
      <c r="AE96" s="7"/>
      <c r="AF96" s="46"/>
      <c r="AG96" s="46"/>
      <c r="AH96" s="46"/>
      <c r="AI96" s="46"/>
      <c r="AJ96" s="7"/>
      <c r="AK96" s="7"/>
      <c r="AL96" s="7"/>
      <c r="AM96" s="7"/>
      <c r="AN96" s="7"/>
      <c r="AO96" s="7"/>
      <c r="AP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7" spans="1:56" ht="15.75" hidden="1">
      <c r="A97" s="31" t="s">
        <v>202</v>
      </c>
      <c r="F97" s="46">
        <f t="shared" ref="F97:V97" si="17">(79+48*F$35+48*F$37)</f>
        <v>127</v>
      </c>
      <c r="G97" s="46">
        <f t="shared" si="17"/>
        <v>127</v>
      </c>
      <c r="H97" s="46">
        <f t="shared" si="17"/>
        <v>127</v>
      </c>
      <c r="I97" s="46">
        <f t="shared" si="17"/>
        <v>127</v>
      </c>
      <c r="J97" s="46">
        <f t="shared" si="17"/>
        <v>127</v>
      </c>
      <c r="K97" s="46">
        <f t="shared" si="17"/>
        <v>127</v>
      </c>
      <c r="L97" s="46">
        <f t="shared" si="17"/>
        <v>127</v>
      </c>
      <c r="M97" s="46">
        <f t="shared" si="17"/>
        <v>127</v>
      </c>
      <c r="N97" s="46">
        <f t="shared" si="17"/>
        <v>127</v>
      </c>
      <c r="O97" s="46">
        <f t="shared" si="17"/>
        <v>127</v>
      </c>
      <c r="P97" s="46">
        <f t="shared" si="17"/>
        <v>127</v>
      </c>
      <c r="Q97" s="46">
        <f t="shared" si="17"/>
        <v>127</v>
      </c>
      <c r="R97" s="46">
        <f t="shared" si="17"/>
        <v>127</v>
      </c>
      <c r="S97" s="46">
        <f t="shared" si="17"/>
        <v>127</v>
      </c>
      <c r="T97" s="46">
        <f t="shared" si="17"/>
        <v>127</v>
      </c>
      <c r="U97" s="46">
        <f t="shared" si="17"/>
        <v>127</v>
      </c>
      <c r="V97" s="46">
        <f t="shared" si="17"/>
        <v>127</v>
      </c>
      <c r="W97" s="46"/>
      <c r="X97" s="46"/>
      <c r="Y97" s="46"/>
      <c r="Z97" s="46"/>
      <c r="AA97" s="46"/>
      <c r="AB97" s="46"/>
      <c r="AC97" s="46"/>
      <c r="AD97" s="46"/>
      <c r="AE97" s="7"/>
      <c r="AF97" s="46"/>
      <c r="AG97" s="46"/>
      <c r="AH97" s="46"/>
      <c r="AI97" s="46"/>
      <c r="AJ97" s="7"/>
      <c r="AK97" s="7"/>
      <c r="AL97" s="7"/>
      <c r="AM97" s="7"/>
      <c r="AN97" s="7"/>
      <c r="AO97" s="7"/>
      <c r="AP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</row>
    <row r="98" spans="1:56" ht="15.75" hidden="1">
      <c r="A98" s="31" t="s">
        <v>203</v>
      </c>
      <c r="F98" s="7">
        <f t="shared" ref="F98:V98" si="18">IF(F34=1,F97,0)</f>
        <v>0</v>
      </c>
      <c r="G98" s="7">
        <f t="shared" si="18"/>
        <v>0</v>
      </c>
      <c r="H98" s="7">
        <f t="shared" si="18"/>
        <v>0</v>
      </c>
      <c r="I98" s="7">
        <f t="shared" si="18"/>
        <v>0</v>
      </c>
      <c r="J98" s="7">
        <f t="shared" si="18"/>
        <v>0</v>
      </c>
      <c r="K98" s="7">
        <f t="shared" si="18"/>
        <v>0</v>
      </c>
      <c r="L98" s="7">
        <f t="shared" si="18"/>
        <v>0</v>
      </c>
      <c r="M98" s="7">
        <f t="shared" si="18"/>
        <v>0</v>
      </c>
      <c r="N98" s="7">
        <f t="shared" si="18"/>
        <v>0</v>
      </c>
      <c r="O98" s="7">
        <f t="shared" si="18"/>
        <v>0</v>
      </c>
      <c r="P98" s="7">
        <f t="shared" si="18"/>
        <v>0</v>
      </c>
      <c r="Q98" s="7">
        <f t="shared" si="18"/>
        <v>0</v>
      </c>
      <c r="R98" s="7">
        <f t="shared" si="18"/>
        <v>0</v>
      </c>
      <c r="S98" s="7">
        <f t="shared" si="18"/>
        <v>0</v>
      </c>
      <c r="T98" s="7">
        <f t="shared" si="18"/>
        <v>0</v>
      </c>
      <c r="U98" s="7">
        <f t="shared" si="18"/>
        <v>0</v>
      </c>
      <c r="V98" s="7">
        <f t="shared" si="18"/>
        <v>0</v>
      </c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99" spans="1:56" ht="15.75" hidden="1">
      <c r="A99" s="31" t="s">
        <v>204</v>
      </c>
      <c r="F99" s="47">
        <f t="shared" ref="F99:V99" si="19">F96+F97+F98+32</f>
        <v>350</v>
      </c>
      <c r="G99" s="47">
        <f t="shared" si="19"/>
        <v>350</v>
      </c>
      <c r="H99" s="47">
        <f t="shared" si="19"/>
        <v>350</v>
      </c>
      <c r="I99" s="47">
        <f t="shared" si="19"/>
        <v>350</v>
      </c>
      <c r="J99" s="47">
        <f t="shared" si="19"/>
        <v>350</v>
      </c>
      <c r="K99" s="47">
        <f t="shared" si="19"/>
        <v>350</v>
      </c>
      <c r="L99" s="47">
        <f t="shared" si="19"/>
        <v>350</v>
      </c>
      <c r="M99" s="47">
        <f t="shared" si="19"/>
        <v>350</v>
      </c>
      <c r="N99" s="47">
        <f t="shared" si="19"/>
        <v>350</v>
      </c>
      <c r="O99" s="47">
        <f t="shared" si="19"/>
        <v>350</v>
      </c>
      <c r="P99" s="47">
        <f t="shared" si="19"/>
        <v>350</v>
      </c>
      <c r="Q99" s="47">
        <f t="shared" si="19"/>
        <v>350</v>
      </c>
      <c r="R99" s="47">
        <f t="shared" si="19"/>
        <v>350</v>
      </c>
      <c r="S99" s="47">
        <f t="shared" si="19"/>
        <v>350</v>
      </c>
      <c r="T99" s="47">
        <f t="shared" si="19"/>
        <v>350</v>
      </c>
      <c r="U99" s="47">
        <f t="shared" si="19"/>
        <v>350</v>
      </c>
      <c r="V99" s="47">
        <f t="shared" si="19"/>
        <v>384</v>
      </c>
      <c r="W99" s="47"/>
      <c r="X99" s="47"/>
      <c r="Y99" s="47"/>
      <c r="Z99" s="47"/>
      <c r="AA99" s="47"/>
      <c r="AB99" s="47"/>
      <c r="AC99" s="47"/>
      <c r="AD99" s="47"/>
      <c r="AE99" s="7"/>
      <c r="AF99" s="47"/>
      <c r="AG99" s="47"/>
      <c r="AH99" s="47"/>
      <c r="AI99" s="47"/>
      <c r="AJ99" s="7"/>
      <c r="AK99" s="7"/>
      <c r="AL99" s="7"/>
      <c r="AM99" s="7"/>
      <c r="AN99" s="7"/>
      <c r="AO99" s="7"/>
      <c r="AP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</row>
    <row r="100" spans="1:56" ht="14.25" hidden="1">
      <c r="A100" s="48" t="s">
        <v>205</v>
      </c>
      <c r="F100" s="49">
        <f t="shared" ref="F100:V100" si="20">CEILING(F99/7032,1)</f>
        <v>1</v>
      </c>
      <c r="G100" s="49">
        <f t="shared" si="20"/>
        <v>1</v>
      </c>
      <c r="H100" s="49">
        <f t="shared" si="20"/>
        <v>1</v>
      </c>
      <c r="I100" s="49">
        <f t="shared" si="20"/>
        <v>1</v>
      </c>
      <c r="J100" s="49">
        <f t="shared" si="20"/>
        <v>1</v>
      </c>
      <c r="K100" s="49">
        <f t="shared" si="20"/>
        <v>1</v>
      </c>
      <c r="L100" s="49">
        <f t="shared" si="20"/>
        <v>1</v>
      </c>
      <c r="M100" s="49">
        <f t="shared" si="20"/>
        <v>1</v>
      </c>
      <c r="N100" s="49">
        <f t="shared" si="20"/>
        <v>1</v>
      </c>
      <c r="O100" s="49">
        <f t="shared" si="20"/>
        <v>1</v>
      </c>
      <c r="P100" s="49">
        <f t="shared" si="20"/>
        <v>1</v>
      </c>
      <c r="Q100" s="49">
        <f t="shared" si="20"/>
        <v>1</v>
      </c>
      <c r="R100" s="49">
        <f t="shared" si="20"/>
        <v>1</v>
      </c>
      <c r="S100" s="49">
        <f t="shared" si="20"/>
        <v>1</v>
      </c>
      <c r="T100" s="49">
        <f t="shared" si="20"/>
        <v>1</v>
      </c>
      <c r="U100" s="49">
        <f t="shared" si="20"/>
        <v>1</v>
      </c>
      <c r="V100" s="49">
        <f t="shared" si="20"/>
        <v>1</v>
      </c>
      <c r="W100" s="49"/>
      <c r="X100" s="49"/>
      <c r="Y100" s="49"/>
      <c r="Z100" s="49"/>
      <c r="AA100" s="49"/>
      <c r="AB100" s="49"/>
      <c r="AC100" s="49"/>
      <c r="AD100" s="49"/>
      <c r="AE100" s="7"/>
      <c r="AF100" s="49"/>
      <c r="AG100" s="49"/>
      <c r="AH100" s="49"/>
      <c r="AI100" s="49"/>
      <c r="AJ100" s="7"/>
      <c r="AK100" s="7"/>
      <c r="AL100" s="7"/>
      <c r="AM100" s="7"/>
      <c r="AN100" s="7"/>
      <c r="AO100" s="7"/>
      <c r="AP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</row>
    <row r="101" spans="1:56" ht="14.25" hidden="1">
      <c r="A101" s="48" t="s">
        <v>206</v>
      </c>
      <c r="F101" s="49">
        <f t="shared" ref="F101:V101" si="21">CEILING(F99/F100,1)*F100-F99</f>
        <v>0</v>
      </c>
      <c r="G101" s="49">
        <f t="shared" si="21"/>
        <v>0</v>
      </c>
      <c r="H101" s="49">
        <f t="shared" si="21"/>
        <v>0</v>
      </c>
      <c r="I101" s="49">
        <f t="shared" si="21"/>
        <v>0</v>
      </c>
      <c r="J101" s="49">
        <f t="shared" si="21"/>
        <v>0</v>
      </c>
      <c r="K101" s="49">
        <f t="shared" si="21"/>
        <v>0</v>
      </c>
      <c r="L101" s="49">
        <f t="shared" si="21"/>
        <v>0</v>
      </c>
      <c r="M101" s="49">
        <f t="shared" si="21"/>
        <v>0</v>
      </c>
      <c r="N101" s="49">
        <f t="shared" si="21"/>
        <v>0</v>
      </c>
      <c r="O101" s="49">
        <f t="shared" si="21"/>
        <v>0</v>
      </c>
      <c r="P101" s="49">
        <f t="shared" si="21"/>
        <v>0</v>
      </c>
      <c r="Q101" s="49">
        <f t="shared" si="21"/>
        <v>0</v>
      </c>
      <c r="R101" s="49">
        <f t="shared" si="21"/>
        <v>0</v>
      </c>
      <c r="S101" s="49">
        <f t="shared" si="21"/>
        <v>0</v>
      </c>
      <c r="T101" s="49">
        <f t="shared" si="21"/>
        <v>0</v>
      </c>
      <c r="U101" s="49">
        <f t="shared" si="21"/>
        <v>0</v>
      </c>
      <c r="V101" s="49">
        <f t="shared" si="21"/>
        <v>0</v>
      </c>
      <c r="W101" s="49"/>
      <c r="X101" s="49"/>
      <c r="Y101" s="49"/>
      <c r="Z101" s="49"/>
      <c r="AA101" s="49"/>
      <c r="AB101" s="49"/>
      <c r="AC101" s="49"/>
      <c r="AD101" s="49"/>
      <c r="AE101" s="7"/>
      <c r="AF101" s="49"/>
      <c r="AG101" s="49"/>
      <c r="AH101" s="49"/>
      <c r="AI101" s="49"/>
      <c r="AJ101" s="7"/>
      <c r="AK101" s="7"/>
      <c r="AL101" s="7"/>
      <c r="AM101" s="7"/>
      <c r="AN101" s="7"/>
      <c r="AO101" s="7"/>
      <c r="AP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</row>
    <row r="102" spans="1:56" ht="15.75" hidden="1">
      <c r="A102" s="31" t="s">
        <v>207</v>
      </c>
      <c r="F102" s="49">
        <f t="shared" ref="F102:V102" si="22">F99+F101</f>
        <v>350</v>
      </c>
      <c r="G102" s="49">
        <f t="shared" si="22"/>
        <v>350</v>
      </c>
      <c r="H102" s="49">
        <f t="shared" si="22"/>
        <v>350</v>
      </c>
      <c r="I102" s="49">
        <f t="shared" si="22"/>
        <v>350</v>
      </c>
      <c r="J102" s="49">
        <f t="shared" si="22"/>
        <v>350</v>
      </c>
      <c r="K102" s="49">
        <f t="shared" si="22"/>
        <v>350</v>
      </c>
      <c r="L102" s="49">
        <f t="shared" si="22"/>
        <v>350</v>
      </c>
      <c r="M102" s="49">
        <f t="shared" si="22"/>
        <v>350</v>
      </c>
      <c r="N102" s="49">
        <f t="shared" si="22"/>
        <v>350</v>
      </c>
      <c r="O102" s="49">
        <f t="shared" si="22"/>
        <v>350</v>
      </c>
      <c r="P102" s="49">
        <f t="shared" si="22"/>
        <v>350</v>
      </c>
      <c r="Q102" s="49">
        <f t="shared" si="22"/>
        <v>350</v>
      </c>
      <c r="R102" s="49">
        <f t="shared" si="22"/>
        <v>350</v>
      </c>
      <c r="S102" s="49">
        <f t="shared" si="22"/>
        <v>350</v>
      </c>
      <c r="T102" s="49">
        <f t="shared" si="22"/>
        <v>350</v>
      </c>
      <c r="U102" s="49">
        <f t="shared" si="22"/>
        <v>350</v>
      </c>
      <c r="V102" s="49">
        <f t="shared" si="22"/>
        <v>384</v>
      </c>
      <c r="W102" s="49"/>
      <c r="X102" s="49"/>
      <c r="Y102" s="49"/>
      <c r="Z102" s="49"/>
      <c r="AA102" s="49"/>
      <c r="AB102" s="49"/>
      <c r="AC102" s="49"/>
      <c r="AD102" s="49"/>
      <c r="AE102" s="7"/>
      <c r="AF102" s="49"/>
      <c r="AG102" s="49"/>
      <c r="AH102" s="49"/>
      <c r="AI102" s="49"/>
      <c r="AJ102" s="7"/>
      <c r="AK102" s="7"/>
      <c r="AL102" s="7"/>
      <c r="AM102" s="7"/>
      <c r="AN102" s="7"/>
      <c r="AO102" s="7"/>
      <c r="AP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</row>
    <row r="103" spans="1:56" ht="15.75" hidden="1">
      <c r="A103" s="31" t="s">
        <v>208</v>
      </c>
      <c r="F103" s="49">
        <f t="shared" ref="F103:V103" si="23">F102/F100</f>
        <v>350</v>
      </c>
      <c r="G103" s="49">
        <f t="shared" si="23"/>
        <v>350</v>
      </c>
      <c r="H103" s="49">
        <f t="shared" si="23"/>
        <v>350</v>
      </c>
      <c r="I103" s="49">
        <f t="shared" si="23"/>
        <v>350</v>
      </c>
      <c r="J103" s="49">
        <f t="shared" si="23"/>
        <v>350</v>
      </c>
      <c r="K103" s="49">
        <f t="shared" si="23"/>
        <v>350</v>
      </c>
      <c r="L103" s="49">
        <f t="shared" si="23"/>
        <v>350</v>
      </c>
      <c r="M103" s="49">
        <f t="shared" si="23"/>
        <v>350</v>
      </c>
      <c r="N103" s="49">
        <f t="shared" si="23"/>
        <v>350</v>
      </c>
      <c r="O103" s="49">
        <f t="shared" si="23"/>
        <v>350</v>
      </c>
      <c r="P103" s="49">
        <f t="shared" si="23"/>
        <v>350</v>
      </c>
      <c r="Q103" s="49">
        <f t="shared" si="23"/>
        <v>350</v>
      </c>
      <c r="R103" s="49">
        <f t="shared" si="23"/>
        <v>350</v>
      </c>
      <c r="S103" s="49">
        <f t="shared" si="23"/>
        <v>350</v>
      </c>
      <c r="T103" s="49">
        <f t="shared" si="23"/>
        <v>350</v>
      </c>
      <c r="U103" s="49">
        <f t="shared" si="23"/>
        <v>350</v>
      </c>
      <c r="V103" s="49">
        <f t="shared" si="23"/>
        <v>384</v>
      </c>
      <c r="W103" s="49"/>
      <c r="X103" s="49"/>
      <c r="Y103" s="49"/>
      <c r="Z103" s="49"/>
      <c r="AA103" s="49"/>
      <c r="AB103" s="49"/>
      <c r="AC103" s="49"/>
      <c r="AD103" s="49"/>
      <c r="AE103" s="7"/>
      <c r="AF103" s="49"/>
      <c r="AG103" s="49"/>
      <c r="AH103" s="49"/>
      <c r="AI103" s="49"/>
      <c r="AJ103" s="7"/>
      <c r="AK103" s="7"/>
      <c r="AL103" s="7"/>
      <c r="AM103" s="7"/>
      <c r="AN103" s="7"/>
      <c r="AO103" s="7"/>
      <c r="AP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</row>
    <row r="104" spans="1:56" ht="14.25" hidden="1">
      <c r="A104" s="48" t="s">
        <v>209</v>
      </c>
      <c r="F104" s="49">
        <f t="shared" ref="F104:V104" si="24">FLOOR(6/5*(7032-F103),1)</f>
        <v>8018</v>
      </c>
      <c r="G104" s="49">
        <f t="shared" si="24"/>
        <v>8018</v>
      </c>
      <c r="H104" s="49">
        <f t="shared" si="24"/>
        <v>8018</v>
      </c>
      <c r="I104" s="49">
        <f t="shared" si="24"/>
        <v>8018</v>
      </c>
      <c r="J104" s="49">
        <f t="shared" si="24"/>
        <v>8018</v>
      </c>
      <c r="K104" s="49">
        <f t="shared" si="24"/>
        <v>8018</v>
      </c>
      <c r="L104" s="49">
        <f t="shared" si="24"/>
        <v>8018</v>
      </c>
      <c r="M104" s="49">
        <f t="shared" si="24"/>
        <v>8018</v>
      </c>
      <c r="N104" s="49">
        <f t="shared" si="24"/>
        <v>8018</v>
      </c>
      <c r="O104" s="49">
        <f t="shared" si="24"/>
        <v>8018</v>
      </c>
      <c r="P104" s="49">
        <f t="shared" si="24"/>
        <v>8018</v>
      </c>
      <c r="Q104" s="49">
        <f t="shared" si="24"/>
        <v>8018</v>
      </c>
      <c r="R104" s="49">
        <f t="shared" si="24"/>
        <v>8018</v>
      </c>
      <c r="S104" s="49">
        <f t="shared" si="24"/>
        <v>8018</v>
      </c>
      <c r="T104" s="49">
        <f t="shared" si="24"/>
        <v>8018</v>
      </c>
      <c r="U104" s="49">
        <f t="shared" si="24"/>
        <v>8018</v>
      </c>
      <c r="V104" s="49">
        <f t="shared" si="24"/>
        <v>7977</v>
      </c>
      <c r="W104" s="49"/>
      <c r="X104" s="49"/>
      <c r="Y104" s="49"/>
      <c r="Z104" s="49"/>
      <c r="AA104" s="49"/>
      <c r="AB104" s="49"/>
      <c r="AC104" s="49"/>
      <c r="AD104" s="49"/>
      <c r="AE104" s="7"/>
      <c r="AF104" s="49"/>
      <c r="AG104" s="49"/>
      <c r="AH104" s="49"/>
      <c r="AI104" s="49"/>
      <c r="AJ104" s="7"/>
      <c r="AK104" s="7"/>
      <c r="AL104" s="7"/>
      <c r="AM104" s="7"/>
      <c r="AN104" s="7"/>
      <c r="AO104" s="7"/>
      <c r="AP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</row>
    <row r="105" spans="1:56" ht="14.25" hidden="1">
      <c r="A105" s="48" t="s">
        <v>210</v>
      </c>
      <c r="F105" s="49">
        <f t="shared" ref="F105:V105" si="25">F103+168+9000-F104</f>
        <v>1500</v>
      </c>
      <c r="G105" s="49">
        <f t="shared" si="25"/>
        <v>1500</v>
      </c>
      <c r="H105" s="49">
        <f t="shared" si="25"/>
        <v>1500</v>
      </c>
      <c r="I105" s="49">
        <f t="shared" si="25"/>
        <v>1500</v>
      </c>
      <c r="J105" s="49">
        <f t="shared" si="25"/>
        <v>1500</v>
      </c>
      <c r="K105" s="49">
        <f t="shared" si="25"/>
        <v>1500</v>
      </c>
      <c r="L105" s="49">
        <f t="shared" si="25"/>
        <v>1500</v>
      </c>
      <c r="M105" s="49">
        <f t="shared" si="25"/>
        <v>1500</v>
      </c>
      <c r="N105" s="49">
        <f t="shared" si="25"/>
        <v>1500</v>
      </c>
      <c r="O105" s="49">
        <f t="shared" si="25"/>
        <v>1500</v>
      </c>
      <c r="P105" s="49">
        <f t="shared" si="25"/>
        <v>1500</v>
      </c>
      <c r="Q105" s="49">
        <f t="shared" si="25"/>
        <v>1500</v>
      </c>
      <c r="R105" s="49">
        <f t="shared" si="25"/>
        <v>1500</v>
      </c>
      <c r="S105" s="49">
        <f t="shared" si="25"/>
        <v>1500</v>
      </c>
      <c r="T105" s="49">
        <f t="shared" si="25"/>
        <v>1500</v>
      </c>
      <c r="U105" s="49">
        <f t="shared" si="25"/>
        <v>1500</v>
      </c>
      <c r="V105" s="49">
        <f t="shared" si="25"/>
        <v>1575</v>
      </c>
      <c r="W105" s="49"/>
      <c r="X105" s="49"/>
      <c r="Y105" s="49"/>
      <c r="Z105" s="49"/>
      <c r="AA105" s="49"/>
      <c r="AB105" s="49"/>
      <c r="AC105" s="49"/>
      <c r="AD105" s="49"/>
      <c r="AE105" s="7"/>
      <c r="AF105" s="49"/>
      <c r="AG105" s="49"/>
      <c r="AH105" s="49"/>
      <c r="AI105" s="49"/>
      <c r="AJ105" s="7"/>
      <c r="AK105" s="7"/>
      <c r="AL105" s="7"/>
      <c r="AM105" s="7"/>
      <c r="AN105" s="7"/>
      <c r="AO105" s="7"/>
      <c r="AP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1:56" ht="14.25" hidden="1">
      <c r="A106" s="48" t="s">
        <v>211</v>
      </c>
      <c r="F106" s="44" t="e">
        <f>CEILING(F105/(F73*VLOOKUP('Single PLP'!F$23,ConstellationOrder,2,FALSE)),1)*F73*VLOOKUP('Single PLP'!F$23,ConstellationOrder,2,FALSE)</f>
        <v>#REF!</v>
      </c>
      <c r="G106" s="44" t="e">
        <f>CEILING(G105/(G73*VLOOKUP('Single PLP'!G$23,ConstellationOrder,2,FALSE)),1)*G73*VLOOKUP('Single PLP'!G$23,ConstellationOrder,2,FALSE)</f>
        <v>#REF!</v>
      </c>
      <c r="H106" s="44" t="e">
        <f>CEILING(H105/(H73*VLOOKUP('Single PLP'!H$23,ConstellationOrder,2,FALSE)),1)*H73*VLOOKUP('Single PLP'!H$23,ConstellationOrder,2,FALSE)</f>
        <v>#REF!</v>
      </c>
      <c r="I106" s="44" t="e">
        <f>CEILING(I105/(I73*VLOOKUP('Single PLP'!I$23,ConstellationOrder,2,FALSE)),1)*I73*VLOOKUP('Single PLP'!I$23,ConstellationOrder,2,FALSE)</f>
        <v>#REF!</v>
      </c>
      <c r="J106" s="44" t="e">
        <f>CEILING(J105/(J73*VLOOKUP('Single PLP'!J$23,ConstellationOrder,2,FALSE)),1)*J73*VLOOKUP('Single PLP'!J$23,ConstellationOrder,2,FALSE)</f>
        <v>#REF!</v>
      </c>
      <c r="K106" s="44" t="e">
        <f>CEILING(K105/(K73*VLOOKUP('Single PLP'!K$23,ConstellationOrder,2,FALSE)),1)*K73*VLOOKUP('Single PLP'!K$23,ConstellationOrder,2,FALSE)</f>
        <v>#REF!</v>
      </c>
      <c r="L106" s="44" t="e">
        <f>CEILING(L105/(L73*VLOOKUP('Single PLP'!L$23,ConstellationOrder,2,FALSE)),1)*L73*VLOOKUP('Single PLP'!L$23,ConstellationOrder,2,FALSE)</f>
        <v>#REF!</v>
      </c>
      <c r="M106" s="44" t="e">
        <f>CEILING(M105/(M73*VLOOKUP('Single PLP'!M$23,ConstellationOrder,2,FALSE)),1)*M73*VLOOKUP('Single PLP'!M$23,ConstellationOrder,2,FALSE)</f>
        <v>#REF!</v>
      </c>
      <c r="N106" s="44" t="e">
        <f>CEILING(N105/(N73*VLOOKUP('Single PLP'!N$23,ConstellationOrder,2,FALSE)),1)*N73*VLOOKUP('Single PLP'!N$23,ConstellationOrder,2,FALSE)</f>
        <v>#REF!</v>
      </c>
      <c r="O106" s="44" t="e">
        <f>CEILING(O105/(O73*VLOOKUP('Single PLP'!O$23,ConstellationOrder,2,FALSE)),1)*O73*VLOOKUP('Single PLP'!O$23,ConstellationOrder,2,FALSE)</f>
        <v>#REF!</v>
      </c>
      <c r="P106" s="44" t="e">
        <f>CEILING(P105/(P73*VLOOKUP('Single PLP'!P$23,ConstellationOrder,2,FALSE)),1)*P73*VLOOKUP('Single PLP'!P$23,ConstellationOrder,2,FALSE)</f>
        <v>#REF!</v>
      </c>
      <c r="Q106" s="44" t="e">
        <f>CEILING(Q105/(Q73*VLOOKUP('Single PLP'!Q$23,ConstellationOrder,2,FALSE)),1)*Q73*VLOOKUP('Single PLP'!Q$23,ConstellationOrder,2,FALSE)</f>
        <v>#REF!</v>
      </c>
      <c r="R106" s="44" t="e">
        <f>CEILING(R105/(R73*VLOOKUP('Single PLP'!R$23,ConstellationOrder,2,FALSE)),1)*R73*VLOOKUP('Single PLP'!R$23,ConstellationOrder,2,FALSE)</f>
        <v>#REF!</v>
      </c>
      <c r="S106" s="44" t="e">
        <f>CEILING(S105/(S73*VLOOKUP('Single PLP'!S$23,ConstellationOrder,2,FALSE)),1)*S73*VLOOKUP('Single PLP'!S$23,ConstellationOrder,2,FALSE)</f>
        <v>#REF!</v>
      </c>
      <c r="T106" s="44" t="e">
        <f>CEILING(T105/(T73*VLOOKUP('Single PLP'!T$23,ConstellationOrder,2,FALSE)),1)*T73*VLOOKUP('Single PLP'!T$23,ConstellationOrder,2,FALSE)</f>
        <v>#REF!</v>
      </c>
      <c r="U106" s="44" t="e">
        <f>CEILING(U105/(U73*VLOOKUP('Single PLP'!U$23,ConstellationOrder,2,FALSE)),1)*U73*VLOOKUP('Single PLP'!U$23,ConstellationOrder,2,FALSE)</f>
        <v>#REF!</v>
      </c>
      <c r="V106" s="44" t="e">
        <f>CEILING(V105/(V73*VLOOKUP('Single PLP'!V$23,ConstellationOrder,2,FALSE)),1)*V73*VLOOKUP('Single PLP'!V$23,ConstellationOrder,2,FALSE)</f>
        <v>#REF!</v>
      </c>
      <c r="W106" s="44"/>
      <c r="X106" s="44"/>
      <c r="Y106" s="44"/>
      <c r="Z106" s="44"/>
      <c r="AA106" s="44"/>
      <c r="AB106" s="44"/>
      <c r="AC106" s="44"/>
      <c r="AD106" s="44"/>
      <c r="AE106" s="7"/>
      <c r="AF106" s="44"/>
      <c r="AG106" s="44"/>
      <c r="AH106" s="44"/>
      <c r="AI106" s="44"/>
      <c r="AJ106" s="7"/>
      <c r="AK106" s="7"/>
      <c r="AL106" s="7"/>
      <c r="AM106" s="7"/>
      <c r="AN106" s="7"/>
      <c r="AO106" s="7"/>
      <c r="AP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</row>
    <row r="107" spans="1:56" ht="14.25" hidden="1">
      <c r="A107" s="48" t="s">
        <v>212</v>
      </c>
      <c r="F107" s="7" t="e">
        <f t="shared" ref="F107:V107" si="26">F104-(F106-F105)</f>
        <v>#REF!</v>
      </c>
      <c r="G107" s="7" t="e">
        <f t="shared" si="26"/>
        <v>#REF!</v>
      </c>
      <c r="H107" s="7" t="e">
        <f t="shared" si="26"/>
        <v>#REF!</v>
      </c>
      <c r="I107" s="7" t="e">
        <f t="shared" si="26"/>
        <v>#REF!</v>
      </c>
      <c r="J107" s="7" t="e">
        <f t="shared" si="26"/>
        <v>#REF!</v>
      </c>
      <c r="K107" s="7" t="e">
        <f t="shared" si="26"/>
        <v>#REF!</v>
      </c>
      <c r="L107" s="7" t="e">
        <f t="shared" si="26"/>
        <v>#REF!</v>
      </c>
      <c r="M107" s="7" t="e">
        <f t="shared" si="26"/>
        <v>#REF!</v>
      </c>
      <c r="N107" s="7" t="e">
        <f t="shared" si="26"/>
        <v>#REF!</v>
      </c>
      <c r="O107" s="7" t="e">
        <f t="shared" si="26"/>
        <v>#REF!</v>
      </c>
      <c r="P107" s="7" t="e">
        <f t="shared" si="26"/>
        <v>#REF!</v>
      </c>
      <c r="Q107" s="7" t="e">
        <f t="shared" si="26"/>
        <v>#REF!</v>
      </c>
      <c r="R107" s="7" t="e">
        <f t="shared" si="26"/>
        <v>#REF!</v>
      </c>
      <c r="S107" s="7" t="e">
        <f t="shared" si="26"/>
        <v>#REF!</v>
      </c>
      <c r="T107" s="7" t="e">
        <f t="shared" si="26"/>
        <v>#REF!</v>
      </c>
      <c r="U107" s="7" t="e">
        <f t="shared" si="26"/>
        <v>#REF!</v>
      </c>
      <c r="V107" s="7" t="e">
        <f t="shared" si="26"/>
        <v>#REF!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1:56" ht="14.25" hidden="1">
      <c r="A108" s="50" t="s">
        <v>213</v>
      </c>
      <c r="F108" s="44" t="e">
        <f>F106/VLOOKUP('Single PLP'!F$23,ConstellationOrder,2,FALSE)</f>
        <v>#REF!</v>
      </c>
      <c r="G108" s="44" t="e">
        <f>G106/VLOOKUP('Single PLP'!G$23,ConstellationOrder,2,FALSE)</f>
        <v>#REF!</v>
      </c>
      <c r="H108" s="44" t="e">
        <f>H106/VLOOKUP('Single PLP'!H$23,ConstellationOrder,2,FALSE)</f>
        <v>#REF!</v>
      </c>
      <c r="I108" s="44" t="e">
        <f>I106/VLOOKUP('Single PLP'!I$23,ConstellationOrder,2,FALSE)</f>
        <v>#REF!</v>
      </c>
      <c r="J108" s="44" t="e">
        <f>J106/VLOOKUP('Single PLP'!J$23,ConstellationOrder,2,FALSE)</f>
        <v>#REF!</v>
      </c>
      <c r="K108" s="44" t="e">
        <f>K106/VLOOKUP('Single PLP'!K$23,ConstellationOrder,2,FALSE)</f>
        <v>#REF!</v>
      </c>
      <c r="L108" s="44" t="e">
        <f>L106/VLOOKUP('Single PLP'!L$23,ConstellationOrder,2,FALSE)</f>
        <v>#REF!</v>
      </c>
      <c r="M108" s="44" t="e">
        <f>M106/VLOOKUP('Single PLP'!M$23,ConstellationOrder,2,FALSE)</f>
        <v>#REF!</v>
      </c>
      <c r="N108" s="44" t="e">
        <f>N106/VLOOKUP('Single PLP'!N$23,ConstellationOrder,2,FALSE)</f>
        <v>#REF!</v>
      </c>
      <c r="O108" s="44" t="e">
        <f>O106/VLOOKUP('Single PLP'!O$23,ConstellationOrder,2,FALSE)</f>
        <v>#REF!</v>
      </c>
      <c r="P108" s="44" t="e">
        <f>P106/VLOOKUP('Single PLP'!P$23,ConstellationOrder,2,FALSE)</f>
        <v>#REF!</v>
      </c>
      <c r="Q108" s="44" t="e">
        <f>Q106/VLOOKUP('Single PLP'!Q$23,ConstellationOrder,2,FALSE)</f>
        <v>#REF!</v>
      </c>
      <c r="R108" s="44" t="e">
        <f>R106/VLOOKUP('Single PLP'!R$23,ConstellationOrder,2,FALSE)</f>
        <v>#REF!</v>
      </c>
      <c r="S108" s="44" t="e">
        <f>S106/VLOOKUP('Single PLP'!S$23,ConstellationOrder,2,FALSE)</f>
        <v>#REF!</v>
      </c>
      <c r="T108" s="44" t="e">
        <f>T106/VLOOKUP('Single PLP'!T$23,ConstellationOrder,2,FALSE)</f>
        <v>#REF!</v>
      </c>
      <c r="U108" s="44" t="e">
        <f>U106/VLOOKUP('Single PLP'!U$23,ConstellationOrder,2,FALSE)</f>
        <v>#REF!</v>
      </c>
      <c r="V108" s="44" t="e">
        <f>V106/VLOOKUP('Single PLP'!V$23,ConstellationOrder,2,FALSE)</f>
        <v>#REF!</v>
      </c>
      <c r="W108" s="44"/>
      <c r="X108" s="44"/>
      <c r="Y108" s="44"/>
      <c r="Z108" s="44"/>
      <c r="AA108" s="44"/>
      <c r="AB108" s="44"/>
      <c r="AC108" s="44"/>
      <c r="AD108" s="44"/>
      <c r="AE108" s="7"/>
      <c r="AF108" s="44"/>
      <c r="AG108" s="44"/>
      <c r="AH108" s="44"/>
      <c r="AI108" s="44"/>
      <c r="AJ108" s="7"/>
      <c r="AK108" s="7"/>
      <c r="AL108" s="7"/>
      <c r="AM108" s="7"/>
      <c r="AN108" s="7"/>
      <c r="AO108" s="7"/>
      <c r="AP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</row>
    <row r="109" spans="1:56"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</row>
    <row r="110" spans="1:56"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</row>
    <row r="111" spans="1:56"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</row>
    <row r="112" spans="1:56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</row>
    <row r="113" spans="6:56"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</row>
    <row r="114" spans="6:56"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</row>
    <row r="115" spans="6:56"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</row>
    <row r="116" spans="6:56"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</row>
    <row r="117" spans="6:56"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</row>
    <row r="118" spans="6:56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</row>
    <row r="119" spans="6:56"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</row>
    <row r="120" spans="6:56"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</row>
    <row r="121" spans="6:56"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</row>
    <row r="122" spans="6:56"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</row>
    <row r="123" spans="6:56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</row>
    <row r="124" spans="6:56"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</row>
    <row r="125" spans="6:56"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</row>
    <row r="126" spans="6:56"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</row>
    <row r="127" spans="6:56"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</row>
    <row r="128" spans="6:56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</row>
    <row r="129" spans="6:56"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</row>
    <row r="130" spans="6:56"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</row>
    <row r="131" spans="6:56"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</row>
    <row r="132" spans="6:56"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</row>
    <row r="133" spans="6:56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</row>
    <row r="134" spans="6:56"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</row>
    <row r="135" spans="6:56"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</row>
    <row r="136" spans="6:56"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</row>
    <row r="137" spans="6:56"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</row>
    <row r="138" spans="6:56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</row>
    <row r="139" spans="6:56"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</row>
    <row r="140" spans="6:56"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</row>
    <row r="141" spans="6:56"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</row>
    <row r="142" spans="6:56"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</row>
    <row r="143" spans="6:56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</row>
    <row r="144" spans="6:56"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</row>
    <row r="145" spans="6:56"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</row>
    <row r="146" spans="6:56"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</row>
    <row r="147" spans="6:56"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</row>
    <row r="148" spans="6:56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</row>
    <row r="149" spans="6:56"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</row>
    <row r="150" spans="6:56"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</row>
    <row r="151" spans="6:56"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</row>
    <row r="152" spans="6:56"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</row>
    <row r="153" spans="6:56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</row>
    <row r="154" spans="6:56"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</row>
    <row r="155" spans="6:56"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</row>
    <row r="156" spans="6:56"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</row>
    <row r="157" spans="6:56"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</row>
    <row r="158" spans="6:56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</row>
    <row r="159" spans="6:56"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</row>
    <row r="160" spans="6:56"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</row>
    <row r="161" spans="6:56"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</row>
    <row r="162" spans="6:56"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</row>
    <row r="163" spans="6:56"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</row>
    <row r="164" spans="6:56"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</row>
    <row r="165" spans="6:56"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</row>
    <row r="166" spans="6:56"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</row>
    <row r="167" spans="6:56"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</row>
    <row r="168" spans="6:56"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</row>
    <row r="169" spans="6:56"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</row>
    <row r="170" spans="6:56"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</row>
    <row r="171" spans="6:56"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</row>
    <row r="172" spans="6:56"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</row>
    <row r="173" spans="6:56"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</row>
    <row r="174" spans="6:56"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</row>
    <row r="175" spans="6:56"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</row>
    <row r="176" spans="6:56"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</row>
    <row r="177" spans="6:56"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</row>
    <row r="178" spans="6:56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</row>
    <row r="179" spans="6:56"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</row>
    <row r="180" spans="6:56"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</row>
    <row r="181" spans="6:56"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</row>
    <row r="182" spans="6:56"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</row>
    <row r="183" spans="6:56"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</row>
    <row r="184" spans="6:56"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</row>
    <row r="185" spans="6:56"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</row>
    <row r="186" spans="6:56"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</row>
    <row r="187" spans="6:56"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</row>
    <row r="188" spans="6:56"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</row>
    <row r="189" spans="6:56"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</row>
    <row r="190" spans="6:56"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</row>
    <row r="191" spans="6:56"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</row>
    <row r="192" spans="6:56"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</row>
    <row r="193" spans="6:56"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6:56"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  <row r="195" spans="6:56"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</row>
    <row r="196" spans="6:56"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</row>
    <row r="197" spans="6:56"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</row>
    <row r="198" spans="6:56"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</row>
    <row r="199" spans="6:56"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</row>
    <row r="200" spans="6:56"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</row>
    <row r="201" spans="6:56"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</row>
    <row r="202" spans="6:56"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</row>
    <row r="203" spans="6:56"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</row>
    <row r="204" spans="6:56"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</row>
    <row r="205" spans="6:56"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</row>
    <row r="206" spans="6:56"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</row>
    <row r="207" spans="6:56"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</row>
    <row r="208" spans="6:56"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</row>
    <row r="209" spans="6:56"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</row>
    <row r="210" spans="6:56"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6:56"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6:56"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</row>
  </sheetData>
  <phoneticPr fontId="21" type="noConversion"/>
  <conditionalFormatting sqref="C11 D11:U65 D69:U71 V11:V66 V68:AI71 W11:AL65 AF72 AJ69:AL71 AM11:AP66 AM68:AP71 AQ11 AV11:CX71">
    <cfRule type="cellIs" dxfId="24" priority="8" stopIfTrue="1" operator="notEqual">
      <formula>$C11</formula>
    </cfRule>
  </conditionalFormatting>
  <conditionalFormatting sqref="AR11:AR65 AR69:AR71">
    <cfRule type="cellIs" dxfId="23" priority="7" stopIfTrue="1" operator="notEqual">
      <formula>$C11</formula>
    </cfRule>
  </conditionalFormatting>
  <conditionalFormatting sqref="AS11:AS44 AS69:AS71 AS48:AS65">
    <cfRule type="cellIs" dxfId="22" priority="6" stopIfTrue="1" operator="notEqual">
      <formula>$C11</formula>
    </cfRule>
  </conditionalFormatting>
  <conditionalFormatting sqref="AS45:AS47">
    <cfRule type="cellIs" dxfId="21" priority="5" stopIfTrue="1" operator="notEqual">
      <formula>$C45</formula>
    </cfRule>
  </conditionalFormatting>
  <conditionalFormatting sqref="AT11:AT44 AT69:AT71 AT48:AT65">
    <cfRule type="cellIs" dxfId="20" priority="4" stopIfTrue="1" operator="notEqual">
      <formula>$C11</formula>
    </cfRule>
  </conditionalFormatting>
  <conditionalFormatting sqref="AT45:AT47">
    <cfRule type="cellIs" dxfId="19" priority="2" stopIfTrue="1" operator="notEqual">
      <formula>$C45</formula>
    </cfRule>
  </conditionalFormatting>
  <conditionalFormatting sqref="AU11:AU65 AU69:AU71">
    <cfRule type="cellIs" dxfId="18" priority="1" stopIfTrue="1" operator="notEqual">
      <formula>$C11</formula>
    </cfRule>
  </conditionalFormatting>
  <pageMargins left="0.78749999999999998" right="0.78749999999999998" top="0.51180555555555551" bottom="0.51180555555555551" header="0.51180555555555551" footer="0.51180555555555551"/>
  <pageSetup paperSize="8" scale="4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90"/>
  <sheetViews>
    <sheetView zoomScale="70" zoomScaleNormal="70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37.85546875" customWidth="1"/>
    <col min="2" max="2" width="31.5703125" customWidth="1"/>
    <col min="3" max="3" width="25.140625" customWidth="1"/>
    <col min="4" max="4" width="24.140625" customWidth="1"/>
    <col min="5" max="5" width="22.85546875" customWidth="1"/>
    <col min="6" max="6" width="21.140625" customWidth="1"/>
    <col min="7" max="7" width="14.85546875" bestFit="1" customWidth="1"/>
    <col min="8" max="8" width="17.28515625" bestFit="1" customWidth="1"/>
    <col min="9" max="10" width="16" bestFit="1" customWidth="1"/>
    <col min="11" max="11" width="14.7109375" bestFit="1" customWidth="1"/>
    <col min="12" max="12" width="17.28515625" bestFit="1" customWidth="1"/>
    <col min="13" max="14" width="16" bestFit="1" customWidth="1"/>
    <col min="15" max="15" width="14.7109375" bestFit="1" customWidth="1"/>
    <col min="16" max="19" width="19.85546875" bestFit="1" customWidth="1"/>
    <col min="20" max="20" width="19.7109375" customWidth="1"/>
    <col min="21" max="21" width="15.5703125" bestFit="1" customWidth="1"/>
    <col min="22" max="22" width="7" customWidth="1"/>
    <col min="23" max="23" width="15.7109375" bestFit="1" customWidth="1"/>
    <col min="24" max="24" width="22.7109375" customWidth="1"/>
    <col min="25" max="25" width="8.140625" customWidth="1"/>
    <col min="26" max="26" width="7.7109375" customWidth="1"/>
    <col min="27" max="27" width="7.140625" customWidth="1"/>
    <col min="28" max="29" width="20" bestFit="1" customWidth="1"/>
    <col min="30" max="30" width="5.42578125" customWidth="1"/>
    <col min="31" max="31" width="20" bestFit="1" customWidth="1"/>
    <col min="32" max="32" width="4.7109375" customWidth="1"/>
    <col min="33" max="33" width="20" bestFit="1" customWidth="1"/>
    <col min="34" max="34" width="4.140625" customWidth="1"/>
    <col min="35" max="35" width="20" bestFit="1" customWidth="1"/>
    <col min="36" max="36" width="4" customWidth="1"/>
    <col min="37" max="37" width="20" bestFit="1" customWidth="1"/>
    <col min="38" max="38" width="5" customWidth="1"/>
    <col min="39" max="39" width="20" bestFit="1" customWidth="1"/>
    <col min="40" max="40" width="22.7109375" customWidth="1"/>
    <col min="41" max="41" width="20.42578125" bestFit="1" customWidth="1"/>
    <col min="42" max="42" width="16.85546875" customWidth="1"/>
    <col min="43" max="43" width="16.5703125" customWidth="1"/>
    <col min="44" max="44" width="5.28515625" customWidth="1"/>
    <col min="45" max="45" width="16.85546875" customWidth="1"/>
    <col min="46" max="46" width="5.5703125" customWidth="1"/>
    <col min="47" max="47" width="16.140625" customWidth="1"/>
    <col min="48" max="48" width="5.42578125" customWidth="1"/>
    <col min="49" max="49" width="18" customWidth="1"/>
    <col min="50" max="50" width="4.140625" customWidth="1"/>
    <col min="51" max="51" width="16.7109375" customWidth="1"/>
    <col min="52" max="52" width="6.28515625" customWidth="1"/>
    <col min="53" max="53" width="16.42578125" customWidth="1"/>
  </cols>
  <sheetData>
    <row r="1" spans="1:53" ht="18">
      <c r="A1" s="8" t="s">
        <v>0</v>
      </c>
      <c r="B1" s="14" t="s">
        <v>4</v>
      </c>
      <c r="C1" s="15">
        <v>800</v>
      </c>
      <c r="D1" s="15">
        <v>801</v>
      </c>
      <c r="E1" s="15">
        <v>802</v>
      </c>
      <c r="F1" s="15">
        <v>803</v>
      </c>
      <c r="G1" s="15">
        <v>804</v>
      </c>
      <c r="H1" s="15">
        <v>805</v>
      </c>
      <c r="I1" s="15">
        <v>806</v>
      </c>
      <c r="J1" s="15">
        <v>807</v>
      </c>
      <c r="K1" s="15">
        <v>808</v>
      </c>
      <c r="L1" s="15">
        <v>809</v>
      </c>
      <c r="M1" s="15">
        <v>810</v>
      </c>
      <c r="N1" s="15">
        <v>811</v>
      </c>
      <c r="O1" s="15">
        <v>812</v>
      </c>
      <c r="P1" s="15">
        <v>813</v>
      </c>
      <c r="Q1" s="15">
        <v>814</v>
      </c>
      <c r="R1" s="15">
        <v>815</v>
      </c>
      <c r="S1" s="15">
        <v>816</v>
      </c>
      <c r="T1" s="15">
        <v>817</v>
      </c>
      <c r="U1" s="15">
        <v>818</v>
      </c>
      <c r="V1" s="15">
        <v>819</v>
      </c>
      <c r="W1" s="15">
        <v>820</v>
      </c>
      <c r="X1" s="15">
        <v>821</v>
      </c>
      <c r="Y1" s="15">
        <v>822</v>
      </c>
      <c r="Z1" s="15">
        <v>823</v>
      </c>
      <c r="AA1" s="15">
        <v>824</v>
      </c>
      <c r="AB1" s="15">
        <v>825</v>
      </c>
      <c r="AC1" s="15">
        <v>826</v>
      </c>
      <c r="AD1" s="15"/>
      <c r="AE1" s="15">
        <v>829</v>
      </c>
      <c r="AF1" s="15"/>
      <c r="AG1" s="15">
        <v>832</v>
      </c>
      <c r="AH1" s="15"/>
      <c r="AI1" s="15">
        <v>837</v>
      </c>
      <c r="AJ1" s="15"/>
      <c r="AK1" s="15">
        <v>840</v>
      </c>
      <c r="AL1" s="15"/>
      <c r="AM1" s="15">
        <v>843</v>
      </c>
      <c r="AN1" s="15">
        <v>848</v>
      </c>
      <c r="AO1" s="15">
        <v>849</v>
      </c>
      <c r="AP1" s="15">
        <v>850</v>
      </c>
      <c r="AQ1" s="15">
        <v>851</v>
      </c>
      <c r="AR1" s="15"/>
      <c r="AS1" s="15">
        <v>854</v>
      </c>
      <c r="AT1" s="15"/>
      <c r="AU1" s="15">
        <v>857</v>
      </c>
      <c r="AV1" s="15"/>
      <c r="AW1" s="15">
        <v>862</v>
      </c>
      <c r="AX1" s="15"/>
      <c r="AY1" s="15">
        <v>865</v>
      </c>
      <c r="AZ1" s="15"/>
      <c r="BA1" s="15">
        <v>868</v>
      </c>
    </row>
    <row r="2" spans="1:53" ht="18">
      <c r="A2" s="8" t="s">
        <v>486</v>
      </c>
      <c r="B2" s="17" t="s">
        <v>5</v>
      </c>
      <c r="C2" s="18" t="s">
        <v>487</v>
      </c>
      <c r="D2" s="18" t="s">
        <v>8</v>
      </c>
      <c r="E2" s="18" t="s">
        <v>10</v>
      </c>
      <c r="F2" s="18" t="s">
        <v>11</v>
      </c>
      <c r="G2" s="18" t="s">
        <v>18</v>
      </c>
      <c r="H2" s="18" t="s">
        <v>409</v>
      </c>
      <c r="I2" s="18" t="s">
        <v>410</v>
      </c>
      <c r="J2" s="18" t="s">
        <v>411</v>
      </c>
      <c r="K2" s="18" t="s">
        <v>412</v>
      </c>
      <c r="L2" s="18" t="s">
        <v>413</v>
      </c>
      <c r="M2" s="18" t="s">
        <v>414</v>
      </c>
      <c r="N2" s="18" t="s">
        <v>415</v>
      </c>
      <c r="O2" s="18" t="s">
        <v>416</v>
      </c>
      <c r="P2" s="18" t="s">
        <v>417</v>
      </c>
      <c r="Q2" s="18" t="s">
        <v>418</v>
      </c>
      <c r="R2" s="18" t="s">
        <v>419</v>
      </c>
      <c r="S2" s="18" t="s">
        <v>420</v>
      </c>
      <c r="T2" s="18" t="s">
        <v>63</v>
      </c>
      <c r="U2" s="18" t="s">
        <v>421</v>
      </c>
      <c r="W2" s="18" t="s">
        <v>450</v>
      </c>
      <c r="X2" s="18" t="s">
        <v>483</v>
      </c>
      <c r="Y2" s="18"/>
      <c r="Z2" s="18"/>
      <c r="AA2" s="18"/>
      <c r="AB2" s="18" t="s">
        <v>451</v>
      </c>
      <c r="AC2" s="18" t="s">
        <v>452</v>
      </c>
      <c r="AD2" s="18"/>
      <c r="AE2" s="18" t="s">
        <v>453</v>
      </c>
      <c r="AF2" s="18"/>
      <c r="AG2" s="18" t="s">
        <v>454</v>
      </c>
      <c r="AH2" s="18"/>
      <c r="AI2" s="18" t="s">
        <v>455</v>
      </c>
      <c r="AJ2" s="18"/>
      <c r="AK2" s="18" t="s">
        <v>456</v>
      </c>
      <c r="AL2" s="18"/>
      <c r="AM2" s="18" t="s">
        <v>457</v>
      </c>
      <c r="AN2" s="18" t="s">
        <v>484</v>
      </c>
      <c r="AO2" s="18" t="s">
        <v>444</v>
      </c>
      <c r="AP2" s="18" t="s">
        <v>466</v>
      </c>
      <c r="AQ2" s="18" t="s">
        <v>467</v>
      </c>
      <c r="AR2" s="18"/>
      <c r="AS2" s="18" t="s">
        <v>468</v>
      </c>
      <c r="AT2" s="18"/>
      <c r="AU2" s="18" t="s">
        <v>469</v>
      </c>
      <c r="AV2" s="18"/>
      <c r="AW2" s="18" t="s">
        <v>470</v>
      </c>
      <c r="AX2" s="18"/>
      <c r="AY2" s="18" t="s">
        <v>478</v>
      </c>
      <c r="AZ2" s="18"/>
      <c r="BA2" s="18" t="s">
        <v>471</v>
      </c>
    </row>
    <row r="3" spans="1:53" ht="18">
      <c r="A3" s="10"/>
      <c r="B3" s="17" t="s">
        <v>29</v>
      </c>
      <c r="C3" s="11" t="str">
        <f>"VV"&amp;TEXT(C1,"000")&amp;"-"&amp;C2</f>
        <v>VV800-L1PSCR</v>
      </c>
      <c r="D3" s="11" t="str">
        <f>"VV"&amp;TEXT(D1,"000")&amp;"-"&amp;D2</f>
        <v>VV801-8KFFT</v>
      </c>
      <c r="E3" s="11" t="str">
        <f t="shared" ref="E3:S3" si="0">"VV"&amp;TEXT(E1,"000")&amp;"-"&amp;E2</f>
        <v>VV802-4KFFT</v>
      </c>
      <c r="F3" s="11" t="str">
        <f t="shared" si="0"/>
        <v>VV803-2KFFT</v>
      </c>
      <c r="G3" s="11" t="str">
        <f t="shared" si="0"/>
        <v>VV804-MISO</v>
      </c>
      <c r="H3" s="11" t="str">
        <f t="shared" si="0"/>
        <v>VV805-256Q13</v>
      </c>
      <c r="I3" s="11" t="str">
        <f t="shared" si="0"/>
        <v>VV806-64Q13</v>
      </c>
      <c r="J3" s="11" t="str">
        <f t="shared" si="0"/>
        <v>VV807-16Q13</v>
      </c>
      <c r="K3" s="11" t="str">
        <f t="shared" si="0"/>
        <v>VV808-4Q13</v>
      </c>
      <c r="L3" s="11" t="str">
        <f t="shared" si="0"/>
        <v>VV809-256Q25</v>
      </c>
      <c r="M3" s="11" t="str">
        <f t="shared" si="0"/>
        <v>VV810-64Q25</v>
      </c>
      <c r="N3" s="11" t="str">
        <f t="shared" si="0"/>
        <v>VV811-16Q25</v>
      </c>
      <c r="O3" s="11" t="str">
        <f t="shared" si="0"/>
        <v>VV812-4Q25</v>
      </c>
      <c r="P3" s="11" t="str">
        <f t="shared" si="0"/>
        <v>VV813-L1PSCR1</v>
      </c>
      <c r="Q3" s="11" t="str">
        <f t="shared" si="0"/>
        <v>VV814-L1PSCR2</v>
      </c>
      <c r="R3" s="11" t="str">
        <f t="shared" si="0"/>
        <v>VV815-L1PSCR3</v>
      </c>
      <c r="S3" s="11" t="str">
        <f t="shared" si="0"/>
        <v>VV816-L1PSCR4</v>
      </c>
      <c r="T3" s="11" t="str">
        <f>"VV"&amp;TEXT(T1,"000")&amp;"-"&amp;T2</f>
        <v>VV817-16K</v>
      </c>
      <c r="U3" s="11" t="str">
        <f>"VV"&amp;TEXT(U1,"000")&amp;"-"&amp;U2</f>
        <v>VV818-BBC2</v>
      </c>
      <c r="W3" s="11" t="str">
        <f>"VV"&amp;TEXT(W1,"000")&amp;"-"&amp;W2</f>
        <v>VV820-16K2</v>
      </c>
      <c r="X3" s="11" t="str">
        <f t="shared" ref="X3" si="1">"VV"&amp;TEXT(X1,"000")&amp;"-"&amp;X2</f>
        <v>VV821-M-PLP</v>
      </c>
      <c r="Y3" s="11"/>
      <c r="Z3" s="11"/>
      <c r="AA3" s="11"/>
      <c r="AB3" s="11" t="str">
        <f>"VV"&amp;TEXT(AB1,"000")&amp;"-"&amp;AB2</f>
        <v>VV825-800COMP</v>
      </c>
      <c r="AC3" s="11" t="str">
        <f>"VV"&amp;TEXT(AC1,"000")&amp;"-"&amp;AC2</f>
        <v>VV826-801COMP</v>
      </c>
      <c r="AD3" s="11"/>
      <c r="AE3" s="11" t="str">
        <f>"VV"&amp;TEXT(AE1,"000")&amp;"-"&amp;AE2</f>
        <v>VV829-804COMP</v>
      </c>
      <c r="AF3" s="11"/>
      <c r="AG3" s="11" t="str">
        <f>"VV"&amp;TEXT(AG1,"000")&amp;"-"&amp;AG2</f>
        <v>VV832-807COMP</v>
      </c>
      <c r="AH3" s="11"/>
      <c r="AI3" s="11" t="str">
        <f>"VV"&amp;TEXT(AI1,"000")&amp;"-"&amp;AI2</f>
        <v>VV837-812COMP</v>
      </c>
      <c r="AJ3" s="11"/>
      <c r="AK3" s="11" t="str">
        <f>"VV"&amp;TEXT(AK1,"000")&amp;"-"&amp;AK2</f>
        <v>VV840-815COMP</v>
      </c>
      <c r="AL3" s="11"/>
      <c r="AM3" s="11" t="str">
        <f>"VV"&amp;TEXT(AM1,"000")&amp;"-"&amp;AM2</f>
        <v>VV843-818COMP</v>
      </c>
      <c r="AN3" s="11" t="str">
        <f>"VV"&amp;TEXT(AN1,"000")&amp;"-"&amp;AN2</f>
        <v>VV848-BIGL1FEC</v>
      </c>
      <c r="AO3" s="11" t="str">
        <f>"VV"&amp;TEXT(AO1,"000")&amp;"-"&amp;AO2</f>
        <v>VV849-COMPAT2</v>
      </c>
      <c r="AP3" s="11" t="str">
        <f>"VV"&amp;TEXT(AP1,"000")&amp;"-"&amp;AP2</f>
        <v>VV850-MUL</v>
      </c>
      <c r="AQ3" s="11" t="str">
        <f>"VV"&amp;TEXT(AQ1,"000")&amp;"-"&amp;AQ2</f>
        <v>VV851-MUL1</v>
      </c>
      <c r="AR3" s="11"/>
      <c r="AS3" s="11" t="str">
        <f>"VV"&amp;TEXT(AS1,"000")&amp;"-"&amp;AS2</f>
        <v>VV854-MUL2</v>
      </c>
      <c r="AT3" s="11"/>
      <c r="AU3" s="11" t="str">
        <f>"VV"&amp;TEXT(AU1,"000")&amp;"-"&amp;AU2</f>
        <v>VV857-MUL3</v>
      </c>
      <c r="AV3" s="11"/>
      <c r="AW3" s="11" t="str">
        <f>"VV"&amp;TEXT(AW1,"000")&amp;"-"&amp;AW2</f>
        <v>VV862-MUL4</v>
      </c>
      <c r="AX3" s="11"/>
      <c r="AY3" s="11" t="str">
        <f>"VV"&amp;TEXT(AY1,"000")&amp;"-"&amp;AY2</f>
        <v>VV865-MUL5</v>
      </c>
      <c r="AZ3" s="11"/>
      <c r="BA3" s="11" t="str">
        <f>"VV"&amp;TEXT(BA1,"000")&amp;"-"&amp;BA2</f>
        <v>VV868-MUL6</v>
      </c>
    </row>
    <row r="4" spans="1:53" ht="64.5">
      <c r="A4" s="10"/>
      <c r="B4" s="138" t="s">
        <v>423</v>
      </c>
      <c r="C4" s="20" t="s">
        <v>488</v>
      </c>
      <c r="D4" s="20" t="s">
        <v>424</v>
      </c>
      <c r="E4" s="20" t="s">
        <v>425</v>
      </c>
      <c r="F4" s="20" t="s">
        <v>426</v>
      </c>
      <c r="G4" s="20" t="s">
        <v>422</v>
      </c>
      <c r="H4" s="20" t="s">
        <v>447</v>
      </c>
      <c r="I4" s="20" t="s">
        <v>447</v>
      </c>
      <c r="J4" s="20" t="s">
        <v>447</v>
      </c>
      <c r="K4" s="20" t="s">
        <v>447</v>
      </c>
      <c r="L4" s="20" t="s">
        <v>448</v>
      </c>
      <c r="M4" s="20" t="s">
        <v>448</v>
      </c>
      <c r="N4" s="20" t="s">
        <v>448</v>
      </c>
      <c r="O4" s="20" t="s">
        <v>448</v>
      </c>
      <c r="P4" s="20" t="s">
        <v>449</v>
      </c>
      <c r="Q4" s="20" t="s">
        <v>449</v>
      </c>
      <c r="R4" s="20" t="s">
        <v>449</v>
      </c>
      <c r="S4" s="20" t="s">
        <v>449</v>
      </c>
      <c r="T4" s="125" t="s">
        <v>458</v>
      </c>
      <c r="U4" s="2" t="s">
        <v>437</v>
      </c>
      <c r="W4" s="125" t="s">
        <v>458</v>
      </c>
      <c r="X4" s="125" t="s">
        <v>490</v>
      </c>
      <c r="Y4" s="125"/>
      <c r="Z4" s="125"/>
      <c r="AA4" s="20"/>
      <c r="AB4" s="20" t="s">
        <v>459</v>
      </c>
      <c r="AC4" s="20" t="s">
        <v>460</v>
      </c>
      <c r="AD4" s="20"/>
      <c r="AE4" s="20" t="s">
        <v>461</v>
      </c>
      <c r="AF4" s="20"/>
      <c r="AG4" s="20" t="s">
        <v>462</v>
      </c>
      <c r="AH4" s="20"/>
      <c r="AI4" s="20" t="s">
        <v>463</v>
      </c>
      <c r="AJ4" s="20"/>
      <c r="AK4" s="20" t="s">
        <v>464</v>
      </c>
      <c r="AL4" s="20"/>
      <c r="AM4" s="137" t="s">
        <v>465</v>
      </c>
      <c r="AN4" s="137" t="s">
        <v>489</v>
      </c>
      <c r="AO4" s="20" t="s">
        <v>406</v>
      </c>
      <c r="AP4" s="138" t="s">
        <v>472</v>
      </c>
      <c r="AQ4" s="138" t="s">
        <v>473</v>
      </c>
      <c r="AR4" s="138"/>
      <c r="AS4" s="138" t="s">
        <v>474</v>
      </c>
      <c r="AT4" s="138"/>
      <c r="AU4" s="138" t="s">
        <v>475</v>
      </c>
      <c r="AV4" s="138"/>
      <c r="AW4" s="138" t="s">
        <v>479</v>
      </c>
      <c r="AX4" s="138"/>
      <c r="AY4" s="138" t="s">
        <v>477</v>
      </c>
      <c r="AZ4" s="138"/>
      <c r="BA4" s="138" t="s">
        <v>476</v>
      </c>
    </row>
    <row r="5" spans="1:53" ht="15.75">
      <c r="A5" s="22" t="s">
        <v>54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ht="15.75">
      <c r="A6" s="26" t="s">
        <v>55</v>
      </c>
      <c r="B6" s="26" t="s">
        <v>56</v>
      </c>
      <c r="C6" s="7" t="s">
        <v>57</v>
      </c>
      <c r="D6" s="7" t="s">
        <v>57</v>
      </c>
      <c r="E6" s="7" t="s">
        <v>57</v>
      </c>
      <c r="F6" s="7" t="s">
        <v>57</v>
      </c>
      <c r="G6" s="7" t="s">
        <v>57</v>
      </c>
      <c r="H6" s="7" t="s">
        <v>57</v>
      </c>
      <c r="I6" s="7" t="s">
        <v>57</v>
      </c>
      <c r="J6" s="7" t="s">
        <v>57</v>
      </c>
      <c r="K6" s="7" t="s">
        <v>57</v>
      </c>
      <c r="L6" s="7" t="s">
        <v>57</v>
      </c>
      <c r="M6" s="7" t="s">
        <v>57</v>
      </c>
      <c r="N6" s="7" t="s">
        <v>57</v>
      </c>
      <c r="O6" s="7" t="s">
        <v>57</v>
      </c>
      <c r="P6" s="7" t="s">
        <v>57</v>
      </c>
      <c r="Q6" s="7" t="s">
        <v>57</v>
      </c>
      <c r="R6" s="7" t="s">
        <v>57</v>
      </c>
      <c r="S6" s="7" t="s">
        <v>57</v>
      </c>
      <c r="T6" s="93" t="s">
        <v>57</v>
      </c>
      <c r="U6" s="93" t="s">
        <v>57</v>
      </c>
      <c r="W6" s="93" t="s">
        <v>57</v>
      </c>
      <c r="X6" s="93" t="s">
        <v>57</v>
      </c>
      <c r="Y6" s="93"/>
      <c r="Z6" s="93"/>
      <c r="AB6" s="93" t="s">
        <v>57</v>
      </c>
      <c r="AC6" s="93" t="s">
        <v>57</v>
      </c>
      <c r="AD6" s="7"/>
      <c r="AE6" s="7" t="s">
        <v>57</v>
      </c>
      <c r="AF6" s="7"/>
      <c r="AG6" s="7" t="s">
        <v>57</v>
      </c>
      <c r="AH6" s="7"/>
      <c r="AI6" s="7" t="s">
        <v>57</v>
      </c>
      <c r="AJ6" s="7"/>
      <c r="AK6" s="7" t="s">
        <v>57</v>
      </c>
      <c r="AL6" s="7"/>
      <c r="AM6" s="93" t="s">
        <v>57</v>
      </c>
      <c r="AN6" s="93" t="s">
        <v>57</v>
      </c>
      <c r="AO6" s="7" t="s">
        <v>57</v>
      </c>
    </row>
    <row r="7" spans="1:53" ht="15.75">
      <c r="A7" s="26" t="s">
        <v>441</v>
      </c>
      <c r="B7" s="26"/>
      <c r="C7" s="93" t="s">
        <v>440</v>
      </c>
      <c r="D7" s="93" t="s">
        <v>440</v>
      </c>
      <c r="E7" s="93" t="s">
        <v>440</v>
      </c>
      <c r="F7" s="93" t="s">
        <v>440</v>
      </c>
      <c r="G7" s="93" t="s">
        <v>440</v>
      </c>
      <c r="H7" s="93" t="s">
        <v>440</v>
      </c>
      <c r="I7" s="93" t="s">
        <v>440</v>
      </c>
      <c r="J7" s="93" t="s">
        <v>440</v>
      </c>
      <c r="K7" s="93" t="s">
        <v>440</v>
      </c>
      <c r="L7" s="93" t="s">
        <v>440</v>
      </c>
      <c r="M7" s="93" t="s">
        <v>440</v>
      </c>
      <c r="N7" s="93" t="s">
        <v>440</v>
      </c>
      <c r="O7" s="93" t="s">
        <v>440</v>
      </c>
      <c r="P7" s="93" t="s">
        <v>440</v>
      </c>
      <c r="Q7" s="93" t="s">
        <v>440</v>
      </c>
      <c r="R7" s="93" t="s">
        <v>440</v>
      </c>
      <c r="S7" s="93" t="s">
        <v>440</v>
      </c>
      <c r="T7" s="93" t="s">
        <v>440</v>
      </c>
      <c r="U7" s="93" t="s">
        <v>440</v>
      </c>
      <c r="W7" s="93" t="s">
        <v>440</v>
      </c>
      <c r="X7" s="93" t="s">
        <v>440</v>
      </c>
      <c r="Y7" s="93"/>
      <c r="Z7" s="93"/>
      <c r="AB7" s="93" t="s">
        <v>439</v>
      </c>
      <c r="AC7" s="93" t="s">
        <v>439</v>
      </c>
      <c r="AD7" s="93"/>
      <c r="AE7" s="93" t="s">
        <v>439</v>
      </c>
      <c r="AF7" s="93"/>
      <c r="AG7" s="93" t="s">
        <v>439</v>
      </c>
      <c r="AH7" s="93"/>
      <c r="AI7" s="93" t="s">
        <v>439</v>
      </c>
      <c r="AJ7" s="93"/>
      <c r="AK7" s="93" t="s">
        <v>439</v>
      </c>
      <c r="AL7" s="93"/>
      <c r="AM7" s="93" t="s">
        <v>439</v>
      </c>
      <c r="AN7" s="93" t="s">
        <v>439</v>
      </c>
      <c r="AO7" s="93" t="s">
        <v>439</v>
      </c>
    </row>
    <row r="8" spans="1:53" ht="15.75">
      <c r="A8" s="26" t="s">
        <v>58</v>
      </c>
      <c r="B8" s="26"/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59</v>
      </c>
      <c r="K8" s="7" t="s">
        <v>59</v>
      </c>
      <c r="L8" s="7" t="s">
        <v>59</v>
      </c>
      <c r="M8" s="7" t="s">
        <v>59</v>
      </c>
      <c r="N8" s="7" t="s">
        <v>59</v>
      </c>
      <c r="O8" s="7" t="s">
        <v>59</v>
      </c>
      <c r="P8" s="7" t="s">
        <v>59</v>
      </c>
      <c r="Q8" s="7" t="s">
        <v>59</v>
      </c>
      <c r="R8" s="7" t="s">
        <v>59</v>
      </c>
      <c r="S8" s="7" t="s">
        <v>59</v>
      </c>
      <c r="T8" s="7" t="s">
        <v>59</v>
      </c>
      <c r="U8" s="7" t="s">
        <v>59</v>
      </c>
      <c r="W8" s="7" t="s">
        <v>59</v>
      </c>
      <c r="X8" s="93" t="s">
        <v>283</v>
      </c>
      <c r="Y8" s="93"/>
      <c r="Z8" s="93"/>
      <c r="AB8" s="7" t="s">
        <v>59</v>
      </c>
      <c r="AC8" s="7" t="s">
        <v>59</v>
      </c>
      <c r="AD8" s="7"/>
      <c r="AE8" s="7" t="s">
        <v>59</v>
      </c>
      <c r="AF8" s="7"/>
      <c r="AG8" s="7" t="s">
        <v>59</v>
      </c>
      <c r="AH8" s="7"/>
      <c r="AI8" s="7" t="s">
        <v>59</v>
      </c>
      <c r="AJ8" s="7"/>
      <c r="AK8" s="7" t="s">
        <v>59</v>
      </c>
      <c r="AL8" s="7"/>
      <c r="AM8" s="7" t="s">
        <v>59</v>
      </c>
      <c r="AN8" s="7" t="s">
        <v>59</v>
      </c>
      <c r="AO8" s="7" t="s">
        <v>59</v>
      </c>
    </row>
    <row r="9" spans="1:53" ht="15.75">
      <c r="A9" s="26" t="s">
        <v>60</v>
      </c>
      <c r="B9" s="26"/>
      <c r="C9" s="93" t="s">
        <v>65</v>
      </c>
      <c r="D9" s="93" t="s">
        <v>62</v>
      </c>
      <c r="E9" s="93" t="s">
        <v>64</v>
      </c>
      <c r="F9" s="93" t="s">
        <v>65</v>
      </c>
      <c r="G9" s="93" t="s">
        <v>62</v>
      </c>
      <c r="H9" s="93" t="s">
        <v>62</v>
      </c>
      <c r="I9" s="93" t="s">
        <v>62</v>
      </c>
      <c r="J9" s="93" t="s">
        <v>62</v>
      </c>
      <c r="K9" s="93" t="s">
        <v>62</v>
      </c>
      <c r="L9" s="93" t="s">
        <v>62</v>
      </c>
      <c r="M9" s="93" t="s">
        <v>62</v>
      </c>
      <c r="N9" s="93" t="s">
        <v>62</v>
      </c>
      <c r="O9" s="93" t="s">
        <v>62</v>
      </c>
      <c r="P9" s="93" t="s">
        <v>62</v>
      </c>
      <c r="Q9" s="93" t="s">
        <v>64</v>
      </c>
      <c r="R9" s="93" t="s">
        <v>65</v>
      </c>
      <c r="S9" s="93" t="s">
        <v>62</v>
      </c>
      <c r="T9" s="93" t="s">
        <v>63</v>
      </c>
      <c r="U9" s="117" t="s">
        <v>430</v>
      </c>
      <c r="W9" s="93" t="s">
        <v>63</v>
      </c>
      <c r="X9" s="93" t="s">
        <v>62</v>
      </c>
      <c r="Y9" s="93"/>
      <c r="Z9" s="93"/>
      <c r="AB9" s="93" t="s">
        <v>63</v>
      </c>
      <c r="AC9" s="117" t="s">
        <v>429</v>
      </c>
      <c r="AD9" s="93"/>
      <c r="AE9" s="117" t="s">
        <v>429</v>
      </c>
      <c r="AF9" s="93"/>
      <c r="AG9" s="117" t="s">
        <v>429</v>
      </c>
      <c r="AH9" s="93"/>
      <c r="AI9" s="117" t="s">
        <v>429</v>
      </c>
      <c r="AJ9" s="93"/>
      <c r="AK9" s="117" t="s">
        <v>63</v>
      </c>
      <c r="AL9" s="93"/>
      <c r="AM9" s="117" t="s">
        <v>429</v>
      </c>
      <c r="AN9" s="93" t="s">
        <v>63</v>
      </c>
      <c r="AO9" s="93" t="s">
        <v>65</v>
      </c>
    </row>
    <row r="10" spans="1:53" ht="15.75">
      <c r="A10" s="26" t="s">
        <v>67</v>
      </c>
      <c r="B10" s="26"/>
      <c r="C10" s="45" t="s">
        <v>73</v>
      </c>
      <c r="D10" s="93" t="s">
        <v>73</v>
      </c>
      <c r="E10" s="45" t="s">
        <v>74</v>
      </c>
      <c r="F10" s="45" t="s">
        <v>71</v>
      </c>
      <c r="G10" s="93" t="s">
        <v>73</v>
      </c>
      <c r="H10" s="93" t="s">
        <v>73</v>
      </c>
      <c r="I10" s="93" t="s">
        <v>73</v>
      </c>
      <c r="J10" s="93" t="s">
        <v>73</v>
      </c>
      <c r="K10" s="93" t="s">
        <v>73</v>
      </c>
      <c r="L10" s="93" t="s">
        <v>73</v>
      </c>
      <c r="M10" s="93" t="s">
        <v>73</v>
      </c>
      <c r="N10" s="93" t="s">
        <v>73</v>
      </c>
      <c r="O10" s="93" t="s">
        <v>73</v>
      </c>
      <c r="P10" s="93" t="s">
        <v>73</v>
      </c>
      <c r="Q10" s="45" t="s">
        <v>74</v>
      </c>
      <c r="R10" s="45" t="s">
        <v>71</v>
      </c>
      <c r="S10" s="93" t="s">
        <v>73</v>
      </c>
      <c r="T10" s="118" t="s">
        <v>72</v>
      </c>
      <c r="U10" s="118" t="s">
        <v>73</v>
      </c>
      <c r="W10" s="132" t="s">
        <v>68</v>
      </c>
      <c r="X10" s="93" t="s">
        <v>73</v>
      </c>
      <c r="Y10" s="93"/>
      <c r="Z10" s="93"/>
      <c r="AB10" s="7" t="s">
        <v>68</v>
      </c>
      <c r="AC10" s="118" t="s">
        <v>68</v>
      </c>
      <c r="AD10" s="45"/>
      <c r="AE10" s="118" t="s">
        <v>68</v>
      </c>
      <c r="AF10" s="45"/>
      <c r="AG10" s="118" t="s">
        <v>68</v>
      </c>
      <c r="AH10" s="45"/>
      <c r="AI10" s="118" t="s">
        <v>68</v>
      </c>
      <c r="AJ10" s="45"/>
      <c r="AK10" s="118" t="s">
        <v>68</v>
      </c>
      <c r="AL10" s="45"/>
      <c r="AM10" s="118" t="s">
        <v>68</v>
      </c>
      <c r="AN10" s="118" t="s">
        <v>72</v>
      </c>
      <c r="AO10" s="45" t="s">
        <v>71</v>
      </c>
    </row>
    <row r="11" spans="1:53" ht="15.75">
      <c r="A11" s="26" t="s">
        <v>75</v>
      </c>
      <c r="B11" s="26" t="s">
        <v>76</v>
      </c>
      <c r="C11" s="117">
        <v>240</v>
      </c>
      <c r="D11" s="7">
        <v>39</v>
      </c>
      <c r="E11" s="7">
        <v>79</v>
      </c>
      <c r="F11" s="7">
        <v>98</v>
      </c>
      <c r="G11" s="122">
        <v>40</v>
      </c>
      <c r="H11" s="126">
        <v>36</v>
      </c>
      <c r="I11" s="126">
        <v>38</v>
      </c>
      <c r="J11" s="126">
        <v>36</v>
      </c>
      <c r="K11" s="126">
        <v>36</v>
      </c>
      <c r="L11" s="126">
        <v>36</v>
      </c>
      <c r="M11" s="126">
        <v>38</v>
      </c>
      <c r="N11" s="126">
        <v>36</v>
      </c>
      <c r="O11" s="126">
        <v>36</v>
      </c>
      <c r="P11" s="126">
        <v>36</v>
      </c>
      <c r="Q11" s="126">
        <v>79</v>
      </c>
      <c r="R11" s="126">
        <v>156</v>
      </c>
      <c r="S11" s="126">
        <v>38</v>
      </c>
      <c r="T11" s="126">
        <v>10</v>
      </c>
      <c r="U11" s="117">
        <v>46</v>
      </c>
      <c r="W11" s="117">
        <v>19</v>
      </c>
      <c r="X11" s="7">
        <v>77</v>
      </c>
      <c r="Y11" s="7"/>
      <c r="Z11" s="7"/>
      <c r="AB11" s="7">
        <v>7</v>
      </c>
      <c r="AC11" s="117">
        <v>33</v>
      </c>
      <c r="AD11" s="117"/>
      <c r="AE11" s="117">
        <v>33</v>
      </c>
      <c r="AF11" s="117"/>
      <c r="AG11" s="117">
        <v>33</v>
      </c>
      <c r="AH11" s="117"/>
      <c r="AI11" s="117">
        <v>33</v>
      </c>
      <c r="AJ11" s="117"/>
      <c r="AK11" s="117">
        <v>69</v>
      </c>
      <c r="AL11" s="117"/>
      <c r="AM11" s="117">
        <v>59</v>
      </c>
      <c r="AN11" s="126">
        <v>19</v>
      </c>
      <c r="AO11" s="117">
        <v>48</v>
      </c>
    </row>
    <row r="12" spans="1:53" ht="15.75">
      <c r="A12" s="26" t="s">
        <v>77</v>
      </c>
      <c r="B12" s="26"/>
      <c r="C12" s="93" t="s">
        <v>408</v>
      </c>
      <c r="D12" s="93" t="s">
        <v>408</v>
      </c>
      <c r="E12" s="93" t="s">
        <v>408</v>
      </c>
      <c r="F12" s="93" t="s">
        <v>408</v>
      </c>
      <c r="G12" s="93" t="s">
        <v>422</v>
      </c>
      <c r="H12" s="93" t="s">
        <v>408</v>
      </c>
      <c r="I12" s="93" t="s">
        <v>408</v>
      </c>
      <c r="J12" s="93" t="s">
        <v>408</v>
      </c>
      <c r="K12" s="93" t="s">
        <v>408</v>
      </c>
      <c r="L12" s="93" t="s">
        <v>408</v>
      </c>
      <c r="M12" s="93" t="s">
        <v>408</v>
      </c>
      <c r="N12" s="93" t="s">
        <v>408</v>
      </c>
      <c r="O12" s="93" t="s">
        <v>408</v>
      </c>
      <c r="P12" s="93" t="s">
        <v>408</v>
      </c>
      <c r="Q12" s="93" t="s">
        <v>408</v>
      </c>
      <c r="R12" s="93" t="s">
        <v>408</v>
      </c>
      <c r="S12" s="93" t="s">
        <v>422</v>
      </c>
      <c r="T12" s="93" t="s">
        <v>408</v>
      </c>
      <c r="U12" s="93" t="s">
        <v>408</v>
      </c>
      <c r="W12" s="93" t="s">
        <v>408</v>
      </c>
      <c r="X12" s="93" t="s">
        <v>408</v>
      </c>
      <c r="Y12" s="93"/>
      <c r="Z12" s="93"/>
      <c r="AB12" s="93" t="s">
        <v>407</v>
      </c>
      <c r="AC12" s="93" t="s">
        <v>407</v>
      </c>
      <c r="AD12" s="117"/>
      <c r="AE12" s="93" t="s">
        <v>407</v>
      </c>
      <c r="AF12" s="117"/>
      <c r="AG12" s="122" t="s">
        <v>499</v>
      </c>
      <c r="AH12" s="117"/>
      <c r="AI12" s="93" t="s">
        <v>407</v>
      </c>
      <c r="AJ12" s="117"/>
      <c r="AK12" s="93" t="s">
        <v>407</v>
      </c>
      <c r="AL12" s="117"/>
      <c r="AM12" s="93" t="s">
        <v>407</v>
      </c>
      <c r="AN12" s="93" t="s">
        <v>407</v>
      </c>
      <c r="AO12" s="117" t="s">
        <v>78</v>
      </c>
    </row>
    <row r="13" spans="1:53" ht="15.75">
      <c r="A13" s="26" t="s">
        <v>79</v>
      </c>
      <c r="B13" s="26"/>
      <c r="C13" s="29" t="s">
        <v>82</v>
      </c>
      <c r="D13" s="29" t="s">
        <v>82</v>
      </c>
      <c r="E13" s="29" t="s">
        <v>82</v>
      </c>
      <c r="F13" s="29" t="s">
        <v>82</v>
      </c>
      <c r="G13" s="29" t="s">
        <v>82</v>
      </c>
      <c r="H13" s="29" t="s">
        <v>82</v>
      </c>
      <c r="I13" s="29" t="s">
        <v>82</v>
      </c>
      <c r="J13" s="29" t="s">
        <v>82</v>
      </c>
      <c r="K13" s="29" t="s">
        <v>82</v>
      </c>
      <c r="L13" s="29" t="s">
        <v>82</v>
      </c>
      <c r="M13" s="29" t="s">
        <v>82</v>
      </c>
      <c r="N13" s="29" t="s">
        <v>82</v>
      </c>
      <c r="O13" s="29" t="s">
        <v>82</v>
      </c>
      <c r="P13" s="29" t="s">
        <v>82</v>
      </c>
      <c r="Q13" s="29" t="s">
        <v>82</v>
      </c>
      <c r="R13" s="29" t="s">
        <v>82</v>
      </c>
      <c r="S13" s="29" t="s">
        <v>82</v>
      </c>
      <c r="T13" s="29" t="s">
        <v>82</v>
      </c>
      <c r="U13" s="29" t="s">
        <v>82</v>
      </c>
      <c r="W13" s="29" t="s">
        <v>82</v>
      </c>
      <c r="X13" s="29" t="s">
        <v>82</v>
      </c>
      <c r="Y13" s="29"/>
      <c r="Z13" s="29"/>
      <c r="AB13" s="29" t="s">
        <v>82</v>
      </c>
      <c r="AC13" s="29" t="s">
        <v>82</v>
      </c>
      <c r="AD13" s="29"/>
      <c r="AE13" s="29" t="s">
        <v>82</v>
      </c>
      <c r="AF13" s="29"/>
      <c r="AG13" s="29" t="s">
        <v>82</v>
      </c>
      <c r="AH13" s="29"/>
      <c r="AI13" s="29" t="s">
        <v>82</v>
      </c>
      <c r="AJ13" s="29"/>
      <c r="AK13" s="29" t="s">
        <v>82</v>
      </c>
      <c r="AL13" s="29"/>
      <c r="AM13" s="29" t="s">
        <v>82</v>
      </c>
      <c r="AN13" s="29" t="s">
        <v>82</v>
      </c>
      <c r="AO13" s="29" t="s">
        <v>82</v>
      </c>
    </row>
    <row r="14" spans="1:53" ht="15.75">
      <c r="A14" s="26" t="s">
        <v>83</v>
      </c>
      <c r="B14" s="26"/>
      <c r="C14" s="7" t="s">
        <v>80</v>
      </c>
      <c r="D14" s="7" t="s">
        <v>80</v>
      </c>
      <c r="E14" s="7" t="s">
        <v>80</v>
      </c>
      <c r="F14" s="7" t="s">
        <v>80</v>
      </c>
      <c r="G14" s="7" t="s">
        <v>80</v>
      </c>
      <c r="H14" s="7" t="s">
        <v>80</v>
      </c>
      <c r="I14" s="7" t="s">
        <v>80</v>
      </c>
      <c r="J14" s="7" t="s">
        <v>80</v>
      </c>
      <c r="K14" s="7" t="s">
        <v>80</v>
      </c>
      <c r="L14" s="7" t="s">
        <v>80</v>
      </c>
      <c r="M14" s="7" t="s">
        <v>80</v>
      </c>
      <c r="N14" s="7" t="s">
        <v>80</v>
      </c>
      <c r="O14" s="7" t="s">
        <v>80</v>
      </c>
      <c r="P14" s="7" t="s">
        <v>80</v>
      </c>
      <c r="Q14" s="7" t="s">
        <v>80</v>
      </c>
      <c r="R14" s="7" t="s">
        <v>80</v>
      </c>
      <c r="S14" s="7" t="s">
        <v>80</v>
      </c>
      <c r="T14" s="7" t="s">
        <v>80</v>
      </c>
      <c r="U14" s="7" t="s">
        <v>80</v>
      </c>
      <c r="W14" s="7" t="s">
        <v>80</v>
      </c>
      <c r="X14" s="7" t="s">
        <v>80</v>
      </c>
      <c r="Y14" s="7"/>
      <c r="Z14" s="7"/>
      <c r="AB14" s="7" t="s">
        <v>80</v>
      </c>
      <c r="AC14" s="7" t="s">
        <v>80</v>
      </c>
      <c r="AD14" s="7"/>
      <c r="AE14" s="7" t="s">
        <v>80</v>
      </c>
      <c r="AF14" s="7"/>
      <c r="AG14" s="7" t="s">
        <v>80</v>
      </c>
      <c r="AH14" s="7"/>
      <c r="AI14" s="7" t="s">
        <v>80</v>
      </c>
      <c r="AJ14" s="7"/>
      <c r="AK14" s="7" t="s">
        <v>80</v>
      </c>
      <c r="AL14" s="7"/>
      <c r="AM14" s="7" t="s">
        <v>80</v>
      </c>
      <c r="AN14" s="7" t="s">
        <v>80</v>
      </c>
      <c r="AO14" s="7" t="s">
        <v>80</v>
      </c>
    </row>
    <row r="15" spans="1:53" ht="15.75">
      <c r="A15" s="26" t="s">
        <v>84</v>
      </c>
      <c r="B15" s="26"/>
      <c r="C15" s="7">
        <v>2</v>
      </c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>
        <v>2</v>
      </c>
      <c r="J15" s="7">
        <v>2</v>
      </c>
      <c r="K15" s="7">
        <v>2</v>
      </c>
      <c r="L15" s="7">
        <v>2</v>
      </c>
      <c r="M15" s="7">
        <v>2</v>
      </c>
      <c r="N15" s="7">
        <v>2</v>
      </c>
      <c r="O15" s="7">
        <v>2</v>
      </c>
      <c r="P15" s="7">
        <v>2</v>
      </c>
      <c r="Q15" s="7">
        <v>2</v>
      </c>
      <c r="R15" s="7">
        <v>2</v>
      </c>
      <c r="S15" s="7">
        <v>2</v>
      </c>
      <c r="T15" s="7">
        <v>2</v>
      </c>
      <c r="U15" s="7">
        <v>2</v>
      </c>
      <c r="W15" s="7">
        <v>2</v>
      </c>
      <c r="X15" s="7">
        <v>2</v>
      </c>
      <c r="Y15" s="7"/>
      <c r="Z15" s="7"/>
      <c r="AB15" s="7">
        <v>2</v>
      </c>
      <c r="AC15" s="7">
        <v>2</v>
      </c>
      <c r="AD15" s="7"/>
      <c r="AE15" s="7">
        <v>2</v>
      </c>
      <c r="AF15" s="7"/>
      <c r="AG15" s="7">
        <v>2</v>
      </c>
      <c r="AH15" s="7"/>
      <c r="AI15" s="7">
        <v>2</v>
      </c>
      <c r="AJ15" s="7"/>
      <c r="AK15" s="7">
        <v>12</v>
      </c>
      <c r="AL15" s="7"/>
      <c r="AM15" s="7">
        <v>2</v>
      </c>
      <c r="AN15" s="7">
        <v>2</v>
      </c>
      <c r="AO15" s="7">
        <v>2</v>
      </c>
    </row>
    <row r="16" spans="1:53" ht="15.75">
      <c r="A16" s="26" t="s">
        <v>85</v>
      </c>
      <c r="B16" s="26"/>
      <c r="C16" s="7" t="s">
        <v>86</v>
      </c>
      <c r="D16" s="7" t="s">
        <v>86</v>
      </c>
      <c r="E16" s="7" t="s">
        <v>86</v>
      </c>
      <c r="F16" s="7" t="s">
        <v>86</v>
      </c>
      <c r="G16" s="7" t="s">
        <v>86</v>
      </c>
      <c r="H16" s="7" t="s">
        <v>86</v>
      </c>
      <c r="I16" s="7" t="s">
        <v>86</v>
      </c>
      <c r="J16" s="7" t="s">
        <v>86</v>
      </c>
      <c r="K16" s="7" t="s">
        <v>86</v>
      </c>
      <c r="L16" s="7" t="s">
        <v>86</v>
      </c>
      <c r="M16" s="7" t="s">
        <v>86</v>
      </c>
      <c r="N16" s="7" t="s">
        <v>86</v>
      </c>
      <c r="O16" s="7" t="s">
        <v>86</v>
      </c>
      <c r="P16" s="7" t="s">
        <v>86</v>
      </c>
      <c r="Q16" s="7" t="s">
        <v>86</v>
      </c>
      <c r="R16" s="7" t="s">
        <v>86</v>
      </c>
      <c r="S16" s="7" t="s">
        <v>86</v>
      </c>
      <c r="T16" s="7" t="s">
        <v>86</v>
      </c>
      <c r="U16" s="7" t="s">
        <v>86</v>
      </c>
      <c r="W16" s="139" t="s">
        <v>86</v>
      </c>
      <c r="X16" s="139" t="s">
        <v>86</v>
      </c>
      <c r="Y16" s="139"/>
      <c r="Z16" s="139"/>
      <c r="AB16" s="7" t="s">
        <v>86</v>
      </c>
      <c r="AC16" s="7" t="s">
        <v>86</v>
      </c>
      <c r="AD16" s="7"/>
      <c r="AE16" s="7" t="s">
        <v>86</v>
      </c>
      <c r="AF16" s="7"/>
      <c r="AG16" s="7" t="s">
        <v>86</v>
      </c>
      <c r="AH16" s="7"/>
      <c r="AI16" s="7" t="s">
        <v>86</v>
      </c>
      <c r="AJ16" s="7"/>
      <c r="AK16" s="7" t="s">
        <v>86</v>
      </c>
      <c r="AL16" s="7"/>
      <c r="AM16" s="7" t="s">
        <v>86</v>
      </c>
      <c r="AN16" s="139" t="s">
        <v>86</v>
      </c>
      <c r="AO16" s="7" t="s">
        <v>86</v>
      </c>
    </row>
    <row r="17" spans="1:41" ht="15.75">
      <c r="A17" s="26" t="s">
        <v>87</v>
      </c>
      <c r="B17" s="26"/>
      <c r="C17" s="93" t="s">
        <v>89</v>
      </c>
      <c r="D17" s="7" t="s">
        <v>88</v>
      </c>
      <c r="E17" s="93" t="s">
        <v>89</v>
      </c>
      <c r="F17" s="93" t="s">
        <v>89</v>
      </c>
      <c r="G17" s="7" t="s">
        <v>88</v>
      </c>
      <c r="H17" s="7" t="s">
        <v>88</v>
      </c>
      <c r="I17" s="7" t="s">
        <v>88</v>
      </c>
      <c r="J17" s="7" t="s">
        <v>88</v>
      </c>
      <c r="K17" s="7" t="s">
        <v>88</v>
      </c>
      <c r="L17" s="7" t="s">
        <v>88</v>
      </c>
      <c r="M17" s="7" t="s">
        <v>88</v>
      </c>
      <c r="N17" s="7" t="s">
        <v>88</v>
      </c>
      <c r="O17" s="7" t="s">
        <v>88</v>
      </c>
      <c r="P17" s="7" t="s">
        <v>88</v>
      </c>
      <c r="Q17" s="93" t="s">
        <v>89</v>
      </c>
      <c r="R17" s="93" t="s">
        <v>89</v>
      </c>
      <c r="S17" s="7" t="s">
        <v>88</v>
      </c>
      <c r="T17" s="93" t="s">
        <v>89</v>
      </c>
      <c r="U17" s="117" t="s">
        <v>88</v>
      </c>
      <c r="W17" s="7" t="s">
        <v>88</v>
      </c>
      <c r="X17" s="7" t="s">
        <v>88</v>
      </c>
      <c r="Y17" s="7"/>
      <c r="Z17" s="7"/>
      <c r="AB17" s="93" t="s">
        <v>88</v>
      </c>
      <c r="AC17" s="117" t="s">
        <v>88</v>
      </c>
      <c r="AD17" s="93"/>
      <c r="AE17" s="117" t="s">
        <v>88</v>
      </c>
      <c r="AF17" s="93"/>
      <c r="AG17" s="117" t="s">
        <v>88</v>
      </c>
      <c r="AH17" s="93"/>
      <c r="AI17" s="117" t="s">
        <v>88</v>
      </c>
      <c r="AJ17" s="93"/>
      <c r="AK17" s="117" t="s">
        <v>88</v>
      </c>
      <c r="AL17" s="93"/>
      <c r="AM17" s="117" t="s">
        <v>88</v>
      </c>
      <c r="AN17" s="93" t="s">
        <v>89</v>
      </c>
      <c r="AO17" s="93" t="s">
        <v>89</v>
      </c>
    </row>
    <row r="18" spans="1:41" ht="15.75">
      <c r="A18" s="26" t="s">
        <v>90</v>
      </c>
      <c r="B18" s="26"/>
      <c r="C18" s="93" t="s">
        <v>97</v>
      </c>
      <c r="D18" s="93" t="s">
        <v>97</v>
      </c>
      <c r="E18" s="93" t="s">
        <v>96</v>
      </c>
      <c r="F18" s="93" t="s">
        <v>94</v>
      </c>
      <c r="G18" s="93" t="s">
        <v>97</v>
      </c>
      <c r="H18" s="93" t="s">
        <v>97</v>
      </c>
      <c r="I18" s="93" t="s">
        <v>97</v>
      </c>
      <c r="J18" s="93" t="s">
        <v>97</v>
      </c>
      <c r="K18" s="93" t="s">
        <v>97</v>
      </c>
      <c r="L18" s="93" t="s">
        <v>97</v>
      </c>
      <c r="M18" s="93" t="s">
        <v>97</v>
      </c>
      <c r="N18" s="93" t="s">
        <v>97</v>
      </c>
      <c r="O18" s="93" t="s">
        <v>97</v>
      </c>
      <c r="P18" s="93" t="s">
        <v>97</v>
      </c>
      <c r="Q18" s="93" t="s">
        <v>96</v>
      </c>
      <c r="R18" s="93" t="s">
        <v>94</v>
      </c>
      <c r="S18" s="93" t="s">
        <v>97</v>
      </c>
      <c r="T18" s="93" t="s">
        <v>95</v>
      </c>
      <c r="U18" s="93" t="s">
        <v>97</v>
      </c>
      <c r="W18" s="93" t="s">
        <v>91</v>
      </c>
      <c r="X18" s="93" t="s">
        <v>97</v>
      </c>
      <c r="Y18" s="93"/>
      <c r="Z18" s="93"/>
      <c r="AB18" s="7" t="s">
        <v>91</v>
      </c>
      <c r="AC18" s="7" t="s">
        <v>91</v>
      </c>
      <c r="AD18" s="93"/>
      <c r="AE18" s="7" t="s">
        <v>91</v>
      </c>
      <c r="AF18" s="93"/>
      <c r="AG18" s="93" t="s">
        <v>37</v>
      </c>
      <c r="AH18" s="93"/>
      <c r="AI18" s="7" t="s">
        <v>91</v>
      </c>
      <c r="AJ18" s="93"/>
      <c r="AK18" s="7" t="s">
        <v>91</v>
      </c>
      <c r="AL18" s="93"/>
      <c r="AM18" s="7" t="s">
        <v>91</v>
      </c>
      <c r="AN18" s="93" t="s">
        <v>95</v>
      </c>
      <c r="AO18" s="93" t="s">
        <v>94</v>
      </c>
    </row>
    <row r="19" spans="1:41" ht="15.75">
      <c r="A19" s="26" t="s">
        <v>98</v>
      </c>
      <c r="B19" s="26"/>
      <c r="C19" s="45" t="s">
        <v>102</v>
      </c>
      <c r="D19" s="93" t="s">
        <v>101</v>
      </c>
      <c r="E19" s="45" t="s">
        <v>101</v>
      </c>
      <c r="F19" s="45" t="s">
        <v>102</v>
      </c>
      <c r="G19" s="93" t="s">
        <v>101</v>
      </c>
      <c r="H19" s="93" t="s">
        <v>101</v>
      </c>
      <c r="I19" s="93" t="s">
        <v>101</v>
      </c>
      <c r="J19" s="93" t="s">
        <v>101</v>
      </c>
      <c r="K19" s="93" t="s">
        <v>101</v>
      </c>
      <c r="L19" s="93" t="s">
        <v>101</v>
      </c>
      <c r="M19" s="93" t="s">
        <v>101</v>
      </c>
      <c r="N19" s="93" t="s">
        <v>101</v>
      </c>
      <c r="O19" s="93" t="s">
        <v>101</v>
      </c>
      <c r="P19" s="93" t="s">
        <v>101</v>
      </c>
      <c r="Q19" s="93" t="s">
        <v>101</v>
      </c>
      <c r="R19" s="93" t="s">
        <v>101</v>
      </c>
      <c r="S19" s="93" t="s">
        <v>101</v>
      </c>
      <c r="T19" s="45" t="s">
        <v>100</v>
      </c>
      <c r="U19" s="45" t="s">
        <v>102</v>
      </c>
      <c r="W19" s="45" t="s">
        <v>100</v>
      </c>
      <c r="X19" s="93" t="s">
        <v>101</v>
      </c>
      <c r="Y19" s="93"/>
      <c r="Z19" s="93"/>
      <c r="AB19" s="93" t="s">
        <v>100</v>
      </c>
      <c r="AC19" s="45" t="s">
        <v>100</v>
      </c>
      <c r="AD19" s="45"/>
      <c r="AE19" s="45" t="s">
        <v>100</v>
      </c>
      <c r="AF19" s="45"/>
      <c r="AG19" s="45" t="s">
        <v>100</v>
      </c>
      <c r="AH19" s="45"/>
      <c r="AI19" s="45" t="s">
        <v>100</v>
      </c>
      <c r="AJ19" s="45"/>
      <c r="AK19" s="45" t="s">
        <v>100</v>
      </c>
      <c r="AL19" s="45"/>
      <c r="AM19" s="45" t="s">
        <v>99</v>
      </c>
      <c r="AN19" s="45" t="s">
        <v>100</v>
      </c>
      <c r="AO19" s="45" t="s">
        <v>102</v>
      </c>
    </row>
    <row r="20" spans="1:41" ht="15.75">
      <c r="A20" s="26" t="s">
        <v>103</v>
      </c>
      <c r="B20" s="26" t="s">
        <v>104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W20" s="7">
        <v>1</v>
      </c>
      <c r="X20" s="7">
        <v>135</v>
      </c>
      <c r="Y20" s="7"/>
      <c r="Z20" s="7"/>
      <c r="AB20" s="7">
        <v>1</v>
      </c>
      <c r="AC20" s="7">
        <v>1</v>
      </c>
      <c r="AD20" s="7"/>
      <c r="AE20" s="7">
        <v>1</v>
      </c>
      <c r="AF20" s="7"/>
      <c r="AG20" s="7">
        <v>1</v>
      </c>
      <c r="AH20" s="7"/>
      <c r="AI20" s="7">
        <v>1</v>
      </c>
      <c r="AJ20" s="7"/>
      <c r="AK20" s="7">
        <v>1</v>
      </c>
      <c r="AL20" s="7"/>
      <c r="AM20" s="7">
        <v>1</v>
      </c>
      <c r="AN20" s="7">
        <v>1</v>
      </c>
      <c r="AO20" s="7">
        <v>1</v>
      </c>
    </row>
    <row r="21" spans="1:41" ht="15.75">
      <c r="A21" s="26" t="s">
        <v>20</v>
      </c>
      <c r="B21" s="26"/>
      <c r="C21" s="7" t="s">
        <v>88</v>
      </c>
      <c r="D21" s="7" t="s">
        <v>88</v>
      </c>
      <c r="E21" s="7" t="s">
        <v>88</v>
      </c>
      <c r="F21" s="7" t="s">
        <v>88</v>
      </c>
      <c r="G21" s="7" t="s">
        <v>88</v>
      </c>
      <c r="H21" s="7" t="s">
        <v>88</v>
      </c>
      <c r="I21" s="7" t="s">
        <v>88</v>
      </c>
      <c r="J21" s="7" t="s">
        <v>88</v>
      </c>
      <c r="K21" s="7" t="s">
        <v>88</v>
      </c>
      <c r="L21" s="7" t="s">
        <v>88</v>
      </c>
      <c r="M21" s="7" t="s">
        <v>88</v>
      </c>
      <c r="N21" s="7" t="s">
        <v>88</v>
      </c>
      <c r="O21" s="7" t="s">
        <v>88</v>
      </c>
      <c r="P21" s="7" t="s">
        <v>88</v>
      </c>
      <c r="Q21" s="7" t="s">
        <v>88</v>
      </c>
      <c r="R21" s="7" t="s">
        <v>88</v>
      </c>
      <c r="S21" s="7" t="s">
        <v>88</v>
      </c>
      <c r="T21" s="7" t="s">
        <v>88</v>
      </c>
      <c r="U21" s="7" t="s">
        <v>88</v>
      </c>
      <c r="W21" s="7" t="s">
        <v>88</v>
      </c>
      <c r="X21" s="7" t="s">
        <v>88</v>
      </c>
      <c r="Y21" s="7"/>
      <c r="Z21" s="7"/>
      <c r="AB21" s="7" t="s">
        <v>88</v>
      </c>
      <c r="AC21" s="7" t="s">
        <v>88</v>
      </c>
      <c r="AD21" s="7"/>
      <c r="AE21" s="7" t="s">
        <v>88</v>
      </c>
      <c r="AF21" s="7"/>
      <c r="AG21" s="7" t="s">
        <v>88</v>
      </c>
      <c r="AH21" s="7"/>
      <c r="AI21" s="7" t="s">
        <v>88</v>
      </c>
      <c r="AJ21" s="7"/>
      <c r="AK21" s="7" t="s">
        <v>88</v>
      </c>
      <c r="AL21" s="7"/>
      <c r="AM21" s="7" t="s">
        <v>88</v>
      </c>
      <c r="AN21" s="7" t="s">
        <v>88</v>
      </c>
      <c r="AO21" s="28" t="s">
        <v>80</v>
      </c>
    </row>
    <row r="22" spans="1:41" ht="15.75">
      <c r="A22" s="26" t="s">
        <v>105</v>
      </c>
      <c r="B22" s="26"/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W22" s="7">
        <v>0</v>
      </c>
      <c r="X22" s="7">
        <v>0</v>
      </c>
      <c r="Y22" s="7"/>
      <c r="Z22" s="7"/>
      <c r="AB22" s="7">
        <v>0</v>
      </c>
      <c r="AC22" s="7">
        <v>0</v>
      </c>
      <c r="AD22" s="7"/>
      <c r="AE22" s="7">
        <v>0</v>
      </c>
      <c r="AF22" s="7"/>
      <c r="AG22" s="7">
        <v>0</v>
      </c>
      <c r="AH22" s="7"/>
      <c r="AI22" s="7">
        <v>0</v>
      </c>
      <c r="AJ22" s="7"/>
      <c r="AK22" s="7">
        <v>0</v>
      </c>
      <c r="AL22" s="7"/>
      <c r="AM22" s="7">
        <v>0</v>
      </c>
      <c r="AN22" s="7">
        <v>0</v>
      </c>
      <c r="AO22" s="30"/>
    </row>
    <row r="23" spans="1:41" ht="15.75">
      <c r="A23" s="26" t="s">
        <v>106</v>
      </c>
      <c r="B23" s="26"/>
      <c r="C23" s="130">
        <v>134144</v>
      </c>
      <c r="D23" s="134">
        <v>1124864</v>
      </c>
      <c r="E23" s="134">
        <v>600000</v>
      </c>
      <c r="F23" s="134">
        <v>1000000</v>
      </c>
      <c r="G23" s="134">
        <v>1124864</v>
      </c>
      <c r="H23" s="134">
        <v>1100000</v>
      </c>
      <c r="I23" s="134">
        <v>1100000</v>
      </c>
      <c r="J23" s="134">
        <v>1124864</v>
      </c>
      <c r="K23" s="134">
        <v>1100000</v>
      </c>
      <c r="L23" s="134">
        <v>1500000</v>
      </c>
      <c r="M23" s="134">
        <v>1100000</v>
      </c>
      <c r="N23" s="134">
        <v>1100000</v>
      </c>
      <c r="O23" s="134">
        <v>1124864</v>
      </c>
      <c r="P23" s="130">
        <v>5000000</v>
      </c>
      <c r="Q23" s="130">
        <v>6000000</v>
      </c>
      <c r="R23" s="130">
        <v>6947328</v>
      </c>
      <c r="S23" s="130">
        <v>9000000</v>
      </c>
      <c r="T23" s="130">
        <v>1500000</v>
      </c>
      <c r="U23" s="130">
        <v>1983488</v>
      </c>
      <c r="W23" s="130">
        <v>2500000</v>
      </c>
      <c r="X23" s="134">
        <v>1100000</v>
      </c>
      <c r="Y23" s="134"/>
      <c r="Z23" s="134"/>
      <c r="AB23" s="134">
        <v>525824</v>
      </c>
      <c r="AC23" s="130">
        <v>348416</v>
      </c>
      <c r="AD23" s="121"/>
      <c r="AE23" s="130">
        <v>356864</v>
      </c>
      <c r="AF23" s="121"/>
      <c r="AG23" s="130">
        <v>323072</v>
      </c>
      <c r="AH23" s="121"/>
      <c r="AI23" s="130">
        <v>323072</v>
      </c>
      <c r="AJ23" s="121"/>
      <c r="AK23" s="130">
        <v>421888</v>
      </c>
      <c r="AL23" s="121"/>
      <c r="AM23" s="130">
        <v>407552</v>
      </c>
      <c r="AN23" s="130">
        <v>2000000</v>
      </c>
      <c r="AO23" s="135"/>
    </row>
    <row r="24" spans="1:41" ht="15.75">
      <c r="A24" s="26" t="s">
        <v>107</v>
      </c>
      <c r="B24" s="26"/>
      <c r="C24" s="11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117">
        <v>1</v>
      </c>
      <c r="W24" s="7">
        <v>1</v>
      </c>
      <c r="X24" s="7">
        <v>1</v>
      </c>
      <c r="Y24" s="7"/>
      <c r="Z24" s="7"/>
      <c r="AB24" s="7">
        <v>1</v>
      </c>
      <c r="AC24" s="117">
        <v>1</v>
      </c>
      <c r="AD24" s="117"/>
      <c r="AE24" s="117">
        <v>1</v>
      </c>
      <c r="AF24" s="117"/>
      <c r="AG24" s="117">
        <v>1</v>
      </c>
      <c r="AH24" s="117"/>
      <c r="AI24" s="117">
        <v>1</v>
      </c>
      <c r="AJ24" s="117"/>
      <c r="AK24" s="117">
        <v>6</v>
      </c>
      <c r="AL24" s="117"/>
      <c r="AM24" s="117">
        <v>1</v>
      </c>
      <c r="AN24" s="7">
        <v>1</v>
      </c>
      <c r="AO24" s="30"/>
    </row>
    <row r="25" spans="1:41" ht="15.75">
      <c r="A25" s="26" t="s">
        <v>108</v>
      </c>
      <c r="B25" s="6"/>
      <c r="C25" s="117">
        <v>2</v>
      </c>
      <c r="D25" s="7">
        <v>2</v>
      </c>
      <c r="E25" s="7">
        <v>2</v>
      </c>
      <c r="F25" s="7">
        <v>2</v>
      </c>
      <c r="G25" s="7">
        <v>2</v>
      </c>
      <c r="H25" s="7">
        <v>2</v>
      </c>
      <c r="I25" s="7">
        <v>2</v>
      </c>
      <c r="J25" s="7">
        <v>2</v>
      </c>
      <c r="K25" s="7">
        <v>2</v>
      </c>
      <c r="L25" s="7">
        <v>2</v>
      </c>
      <c r="M25" s="7">
        <v>2</v>
      </c>
      <c r="N25" s="7">
        <v>2</v>
      </c>
      <c r="O25" s="7">
        <v>2</v>
      </c>
      <c r="P25" s="7">
        <v>2</v>
      </c>
      <c r="Q25" s="7">
        <v>2</v>
      </c>
      <c r="R25" s="7">
        <v>2</v>
      </c>
      <c r="S25" s="7">
        <v>2</v>
      </c>
      <c r="T25" s="7">
        <v>2</v>
      </c>
      <c r="U25" s="117">
        <v>2</v>
      </c>
      <c r="W25" s="7">
        <v>2</v>
      </c>
      <c r="X25" s="7">
        <v>2</v>
      </c>
      <c r="Y25" s="7"/>
      <c r="Z25" s="7"/>
      <c r="AB25" s="7">
        <v>2</v>
      </c>
      <c r="AC25" s="117">
        <v>2</v>
      </c>
      <c r="AD25" s="117"/>
      <c r="AE25" s="117">
        <v>2</v>
      </c>
      <c r="AF25" s="117"/>
      <c r="AG25" s="117">
        <v>2</v>
      </c>
      <c r="AH25" s="117"/>
      <c r="AI25" s="117">
        <v>2</v>
      </c>
      <c r="AJ25" s="117"/>
      <c r="AK25" s="117">
        <v>2</v>
      </c>
      <c r="AL25" s="117"/>
      <c r="AM25" s="117">
        <v>2</v>
      </c>
      <c r="AN25" s="7">
        <v>2</v>
      </c>
      <c r="AO25" s="30"/>
    </row>
    <row r="26" spans="1:41" ht="15.75">
      <c r="A26" s="26" t="s">
        <v>109</v>
      </c>
      <c r="B26" s="26"/>
      <c r="C26" s="7">
        <v>1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W26" s="7">
        <v>1</v>
      </c>
      <c r="X26" s="7">
        <v>1</v>
      </c>
      <c r="Y26" s="7"/>
      <c r="Z26" s="7"/>
      <c r="AB26" s="7">
        <v>1</v>
      </c>
      <c r="AC26" s="7">
        <v>1</v>
      </c>
      <c r="AD26" s="7"/>
      <c r="AE26" s="7">
        <v>1</v>
      </c>
      <c r="AF26" s="93"/>
      <c r="AG26" s="7">
        <v>1</v>
      </c>
      <c r="AH26" s="93"/>
      <c r="AI26" s="7">
        <v>1</v>
      </c>
      <c r="AJ26" s="93"/>
      <c r="AK26" s="7">
        <v>1</v>
      </c>
      <c r="AL26" s="93"/>
      <c r="AM26" s="7">
        <v>1</v>
      </c>
      <c r="AN26" s="7">
        <v>1</v>
      </c>
      <c r="AO26" s="30"/>
    </row>
    <row r="27" spans="1:41" ht="18" customHeight="1">
      <c r="A27" s="26" t="s">
        <v>110</v>
      </c>
      <c r="B27" s="26" t="s">
        <v>427</v>
      </c>
      <c r="C27" s="117" t="s">
        <v>112</v>
      </c>
      <c r="D27" s="7" t="s">
        <v>112</v>
      </c>
      <c r="E27" s="7" t="s">
        <v>112</v>
      </c>
      <c r="F27" s="7" t="s">
        <v>112</v>
      </c>
      <c r="G27" s="7" t="s">
        <v>112</v>
      </c>
      <c r="H27" s="7" t="s">
        <v>112</v>
      </c>
      <c r="I27" s="7" t="s">
        <v>112</v>
      </c>
      <c r="J27" s="7" t="s">
        <v>112</v>
      </c>
      <c r="K27" s="7" t="s">
        <v>112</v>
      </c>
      <c r="L27" s="7" t="s">
        <v>112</v>
      </c>
      <c r="M27" s="7" t="s">
        <v>112</v>
      </c>
      <c r="N27" s="7" t="s">
        <v>112</v>
      </c>
      <c r="O27" s="7" t="s">
        <v>112</v>
      </c>
      <c r="P27" s="7" t="s">
        <v>112</v>
      </c>
      <c r="Q27" s="7" t="s">
        <v>112</v>
      </c>
      <c r="R27" s="7" t="s">
        <v>112</v>
      </c>
      <c r="S27" s="7" t="s">
        <v>112</v>
      </c>
      <c r="T27" s="7" t="s">
        <v>112</v>
      </c>
      <c r="U27" s="117" t="s">
        <v>112</v>
      </c>
      <c r="W27" s="7" t="s">
        <v>112</v>
      </c>
      <c r="X27" s="7" t="s">
        <v>112</v>
      </c>
      <c r="Y27" s="7"/>
      <c r="Z27" s="7"/>
      <c r="AB27" s="7" t="s">
        <v>112</v>
      </c>
      <c r="AC27" s="117" t="s">
        <v>112</v>
      </c>
      <c r="AD27" s="93"/>
      <c r="AE27" s="117" t="s">
        <v>112</v>
      </c>
      <c r="AF27" s="45"/>
      <c r="AG27" s="117" t="s">
        <v>112</v>
      </c>
      <c r="AH27" s="45"/>
      <c r="AI27" s="117" t="s">
        <v>112</v>
      </c>
      <c r="AJ27" s="45"/>
      <c r="AK27" s="117" t="s">
        <v>112</v>
      </c>
      <c r="AL27" s="45"/>
      <c r="AM27" s="117" t="s">
        <v>112</v>
      </c>
      <c r="AN27" s="7" t="s">
        <v>112</v>
      </c>
      <c r="AO27" s="30"/>
    </row>
    <row r="28" spans="1:41" ht="15.75">
      <c r="A28" s="26" t="s">
        <v>115</v>
      </c>
      <c r="B28" s="31" t="s">
        <v>116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W28" s="30"/>
      <c r="X28" s="30"/>
      <c r="Y28" s="7"/>
      <c r="Z28" s="7"/>
      <c r="AA28" s="124"/>
      <c r="AB28" s="30"/>
      <c r="AC28" s="30"/>
      <c r="AD28" s="45"/>
      <c r="AE28" s="30"/>
      <c r="AF28" s="117"/>
      <c r="AG28" s="30"/>
      <c r="AH28" s="117"/>
      <c r="AI28" s="30"/>
      <c r="AJ28" s="117"/>
      <c r="AK28" s="30"/>
      <c r="AL28" s="117"/>
      <c r="AM28" s="30"/>
      <c r="AN28" s="30"/>
      <c r="AO28" s="30"/>
    </row>
    <row r="29" spans="1:41" ht="15.75">
      <c r="A29" s="26" t="s">
        <v>117</v>
      </c>
      <c r="B29" s="31" t="s">
        <v>116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W29" s="30"/>
      <c r="X29" s="30"/>
      <c r="Y29" s="7"/>
      <c r="Z29" s="7"/>
      <c r="AA29" s="124"/>
      <c r="AB29" s="30"/>
      <c r="AC29" s="30"/>
      <c r="AD29" s="117"/>
      <c r="AE29" s="30"/>
      <c r="AF29" s="117"/>
      <c r="AG29" s="30"/>
      <c r="AH29" s="117"/>
      <c r="AI29" s="30"/>
      <c r="AJ29" s="117"/>
      <c r="AK29" s="30"/>
      <c r="AL29" s="117"/>
      <c r="AM29" s="30"/>
      <c r="AN29" s="30"/>
      <c r="AO29" s="30"/>
    </row>
    <row r="30" spans="1:41" ht="31.5">
      <c r="A30" s="26" t="s">
        <v>118</v>
      </c>
      <c r="B30" s="31" t="s">
        <v>119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W30" s="7">
        <v>0</v>
      </c>
      <c r="X30" s="7">
        <v>0</v>
      </c>
      <c r="Y30" s="7"/>
      <c r="Z30" s="7"/>
      <c r="AA30" s="124"/>
      <c r="AB30" s="7">
        <v>0</v>
      </c>
      <c r="AC30" s="7">
        <v>0</v>
      </c>
      <c r="AD30" s="117"/>
      <c r="AE30" s="7">
        <v>0</v>
      </c>
      <c r="AF30" s="29"/>
      <c r="AG30" s="7">
        <v>0</v>
      </c>
      <c r="AH30" s="29"/>
      <c r="AI30" s="7">
        <v>0</v>
      </c>
      <c r="AJ30" s="29"/>
      <c r="AK30" s="7">
        <v>0</v>
      </c>
      <c r="AL30" s="29"/>
      <c r="AM30" s="7">
        <v>0</v>
      </c>
      <c r="AN30" s="7">
        <v>0</v>
      </c>
      <c r="AO30" s="7">
        <v>0</v>
      </c>
    </row>
    <row r="31" spans="1:41" ht="15.75">
      <c r="A31" s="26" t="s">
        <v>120</v>
      </c>
      <c r="B31" s="31"/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W31" s="7">
        <v>1</v>
      </c>
      <c r="X31" s="7">
        <v>2</v>
      </c>
      <c r="Y31" s="7"/>
      <c r="Z31" s="7"/>
      <c r="AA31" s="124"/>
      <c r="AB31" s="7">
        <v>1</v>
      </c>
      <c r="AC31" s="7">
        <v>1</v>
      </c>
      <c r="AD31" s="29"/>
      <c r="AE31" s="7">
        <v>1</v>
      </c>
      <c r="AF31" s="7"/>
      <c r="AG31" s="7">
        <v>1</v>
      </c>
      <c r="AH31" s="7"/>
      <c r="AI31" s="7">
        <v>1</v>
      </c>
      <c r="AJ31" s="7"/>
      <c r="AK31" s="7">
        <v>1</v>
      </c>
      <c r="AL31" s="7"/>
      <c r="AM31" s="7">
        <v>1</v>
      </c>
      <c r="AN31" s="7">
        <v>1</v>
      </c>
      <c r="AO31" s="7">
        <v>1</v>
      </c>
    </row>
    <row r="32" spans="1:41" ht="15.75">
      <c r="A32" s="26" t="s">
        <v>121</v>
      </c>
      <c r="B32" s="31"/>
      <c r="C32" s="7">
        <v>1</v>
      </c>
      <c r="D32" s="7">
        <v>1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W32" s="7">
        <v>1</v>
      </c>
      <c r="X32" s="7">
        <v>1</v>
      </c>
      <c r="Y32" s="7"/>
      <c r="Z32" s="7"/>
      <c r="AA32" s="124"/>
      <c r="AB32" s="7">
        <v>1</v>
      </c>
      <c r="AC32" s="7">
        <v>1</v>
      </c>
      <c r="AD32" s="7"/>
      <c r="AE32" s="7">
        <v>1</v>
      </c>
      <c r="AF32" s="7"/>
      <c r="AG32" s="7">
        <v>1</v>
      </c>
      <c r="AH32" s="7"/>
      <c r="AI32" s="7">
        <v>1</v>
      </c>
      <c r="AJ32" s="7"/>
      <c r="AK32" s="7">
        <v>1</v>
      </c>
      <c r="AL32" s="7"/>
      <c r="AM32" s="7">
        <v>1</v>
      </c>
      <c r="AN32" s="7">
        <v>1</v>
      </c>
      <c r="AO32" s="7">
        <v>1</v>
      </c>
    </row>
    <row r="33" spans="1:41" ht="15.75">
      <c r="A33" s="26" t="s">
        <v>122</v>
      </c>
      <c r="B33" s="31"/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W33" s="7">
        <v>0</v>
      </c>
      <c r="X33" s="7">
        <v>0</v>
      </c>
      <c r="Y33" s="7"/>
      <c r="Z33" s="7"/>
      <c r="AA33" s="124"/>
      <c r="AB33" s="7">
        <v>0</v>
      </c>
      <c r="AC33" s="7">
        <v>0</v>
      </c>
      <c r="AD33" s="7"/>
      <c r="AE33" s="7">
        <v>0</v>
      </c>
      <c r="AF33" s="7"/>
      <c r="AG33" s="7">
        <v>0</v>
      </c>
      <c r="AH33" s="7"/>
      <c r="AI33" s="7">
        <v>0</v>
      </c>
      <c r="AJ33" s="7"/>
      <c r="AK33" s="7">
        <v>0</v>
      </c>
      <c r="AL33" s="7"/>
      <c r="AM33" s="7">
        <v>0</v>
      </c>
      <c r="AN33" s="7">
        <v>0</v>
      </c>
      <c r="AO33" s="7">
        <v>0</v>
      </c>
    </row>
    <row r="34" spans="1:41" ht="15.75">
      <c r="A34" s="26" t="s">
        <v>123</v>
      </c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W34" s="4"/>
      <c r="X34" s="4"/>
      <c r="Y34" s="7"/>
      <c r="Z34" s="7"/>
      <c r="AA34" s="124"/>
      <c r="AB34" s="4"/>
      <c r="AC34" s="4"/>
      <c r="AD34" s="7"/>
      <c r="AE34" s="4"/>
      <c r="AF34" s="93"/>
      <c r="AG34" s="4"/>
      <c r="AH34" s="93"/>
      <c r="AI34" s="4"/>
      <c r="AJ34" s="93"/>
      <c r="AK34" s="4"/>
      <c r="AL34" s="93"/>
      <c r="AM34" s="4"/>
      <c r="AN34" s="4"/>
      <c r="AO34" s="4"/>
    </row>
    <row r="35" spans="1:41" ht="15.75">
      <c r="A35" s="26" t="s">
        <v>124</v>
      </c>
      <c r="B35" s="3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4"/>
      <c r="X35" s="4"/>
      <c r="Y35" s="7"/>
      <c r="Z35" s="7"/>
      <c r="AA35" s="124"/>
      <c r="AB35" s="4"/>
      <c r="AC35" s="4"/>
      <c r="AD35" s="93"/>
      <c r="AE35" s="4"/>
      <c r="AF35" s="93"/>
      <c r="AG35" s="4"/>
      <c r="AH35" s="93"/>
      <c r="AI35" s="4"/>
      <c r="AJ35" s="93"/>
      <c r="AK35" s="4"/>
      <c r="AL35" s="93"/>
      <c r="AM35" s="4"/>
      <c r="AN35" s="4"/>
      <c r="AO35" s="4"/>
    </row>
    <row r="36" spans="1:41" ht="15.75">
      <c r="A36" s="26" t="s">
        <v>125</v>
      </c>
      <c r="B36" s="3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4"/>
      <c r="X36" s="4"/>
      <c r="Y36" s="7"/>
      <c r="Z36" s="7"/>
      <c r="AA36" s="124"/>
      <c r="AB36" s="4"/>
      <c r="AC36" s="4"/>
      <c r="AD36" s="93"/>
      <c r="AE36" s="4"/>
      <c r="AF36" s="45"/>
      <c r="AG36" s="4"/>
      <c r="AH36" s="45"/>
      <c r="AI36" s="4"/>
      <c r="AJ36" s="45"/>
      <c r="AK36" s="4"/>
      <c r="AL36" s="45"/>
      <c r="AM36" s="4"/>
      <c r="AN36" s="4"/>
      <c r="AO36" s="4"/>
    </row>
    <row r="37" spans="1:41" ht="15.75">
      <c r="A37" s="26" t="s">
        <v>126</v>
      </c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W37" s="4"/>
      <c r="X37" s="4"/>
      <c r="Y37" s="7"/>
      <c r="Z37" s="7"/>
      <c r="AA37" s="124"/>
      <c r="AB37" s="4"/>
      <c r="AC37" s="4"/>
      <c r="AD37" s="45"/>
      <c r="AE37" s="4"/>
      <c r="AF37" s="7"/>
      <c r="AG37" s="4"/>
      <c r="AH37" s="7"/>
      <c r="AI37" s="4"/>
      <c r="AJ37" s="7"/>
      <c r="AK37" s="4"/>
      <c r="AL37" s="7"/>
      <c r="AM37" s="4"/>
      <c r="AN37" s="4"/>
      <c r="AO37" s="4"/>
    </row>
    <row r="38" spans="1:41" ht="15.75">
      <c r="A38" s="26" t="s">
        <v>127</v>
      </c>
      <c r="B38" s="31"/>
      <c r="C38" s="93" t="s">
        <v>405</v>
      </c>
      <c r="D38" s="93" t="s">
        <v>405</v>
      </c>
      <c r="E38" s="93" t="s">
        <v>405</v>
      </c>
      <c r="F38" s="93" t="s">
        <v>405</v>
      </c>
      <c r="G38" s="93" t="s">
        <v>405</v>
      </c>
      <c r="H38" s="93" t="s">
        <v>405</v>
      </c>
      <c r="I38" s="93" t="s">
        <v>405</v>
      </c>
      <c r="J38" s="93" t="s">
        <v>405</v>
      </c>
      <c r="K38" s="93" t="s">
        <v>405</v>
      </c>
      <c r="L38" s="93" t="s">
        <v>405</v>
      </c>
      <c r="M38" s="93" t="s">
        <v>405</v>
      </c>
      <c r="N38" s="93" t="s">
        <v>405</v>
      </c>
      <c r="O38" s="93" t="s">
        <v>405</v>
      </c>
      <c r="P38" s="93" t="s">
        <v>405</v>
      </c>
      <c r="Q38" s="93" t="s">
        <v>405</v>
      </c>
      <c r="R38" s="93" t="s">
        <v>405</v>
      </c>
      <c r="S38" s="93" t="s">
        <v>405</v>
      </c>
      <c r="T38" s="93" t="s">
        <v>405</v>
      </c>
      <c r="U38" s="93" t="s">
        <v>405</v>
      </c>
      <c r="W38" s="93" t="s">
        <v>405</v>
      </c>
      <c r="X38" s="93" t="s">
        <v>405</v>
      </c>
      <c r="Y38" s="93"/>
      <c r="Z38" s="93"/>
      <c r="AA38" s="124"/>
      <c r="AB38" s="93" t="s">
        <v>405</v>
      </c>
      <c r="AC38" s="93" t="s">
        <v>405</v>
      </c>
      <c r="AD38" s="7"/>
      <c r="AE38" s="93" t="s">
        <v>405</v>
      </c>
      <c r="AF38" s="28"/>
      <c r="AG38" s="93" t="s">
        <v>405</v>
      </c>
      <c r="AH38" s="28"/>
      <c r="AI38" s="93" t="s">
        <v>405</v>
      </c>
      <c r="AJ38" s="28"/>
      <c r="AK38" s="93" t="s">
        <v>405</v>
      </c>
      <c r="AL38" s="28"/>
      <c r="AM38" s="93" t="s">
        <v>405</v>
      </c>
      <c r="AN38" s="93" t="s">
        <v>405</v>
      </c>
      <c r="AO38" s="93" t="s">
        <v>405</v>
      </c>
    </row>
    <row r="39" spans="1:41" ht="15.75">
      <c r="A39" s="26" t="s">
        <v>130</v>
      </c>
      <c r="B39" s="31" t="s">
        <v>131</v>
      </c>
      <c r="C39" s="93">
        <v>3</v>
      </c>
      <c r="D39" s="93">
        <v>3</v>
      </c>
      <c r="E39" s="93">
        <v>3</v>
      </c>
      <c r="F39" s="93">
        <v>3</v>
      </c>
      <c r="G39" s="93">
        <v>3</v>
      </c>
      <c r="H39" s="93">
        <v>3</v>
      </c>
      <c r="I39" s="93">
        <v>3</v>
      </c>
      <c r="J39" s="93">
        <v>3</v>
      </c>
      <c r="K39" s="93">
        <v>3</v>
      </c>
      <c r="L39" s="93">
        <v>3</v>
      </c>
      <c r="M39" s="93">
        <v>3</v>
      </c>
      <c r="N39" s="93">
        <v>3</v>
      </c>
      <c r="O39" s="93">
        <v>3</v>
      </c>
      <c r="P39" s="93">
        <v>3</v>
      </c>
      <c r="Q39" s="93">
        <v>3</v>
      </c>
      <c r="R39" s="93">
        <v>3</v>
      </c>
      <c r="S39" s="93">
        <v>3</v>
      </c>
      <c r="T39" s="93">
        <v>3</v>
      </c>
      <c r="U39" s="93">
        <v>3</v>
      </c>
      <c r="W39" s="93">
        <v>3</v>
      </c>
      <c r="X39" s="93">
        <v>3</v>
      </c>
      <c r="Y39" s="93"/>
      <c r="Z39" s="93"/>
      <c r="AA39" s="124"/>
      <c r="AB39" s="93">
        <v>3</v>
      </c>
      <c r="AC39" s="93">
        <v>3</v>
      </c>
      <c r="AD39" s="28"/>
      <c r="AE39" s="93">
        <v>3</v>
      </c>
      <c r="AF39" s="7"/>
      <c r="AG39" s="93">
        <v>3</v>
      </c>
      <c r="AH39" s="7"/>
      <c r="AI39" s="93">
        <v>3</v>
      </c>
      <c r="AJ39" s="7"/>
      <c r="AK39" s="93">
        <v>3</v>
      </c>
      <c r="AL39" s="7"/>
      <c r="AM39" s="93">
        <v>3</v>
      </c>
      <c r="AN39" s="93">
        <v>3</v>
      </c>
      <c r="AO39" s="93">
        <v>3</v>
      </c>
    </row>
    <row r="40" spans="1:41" ht="15.75">
      <c r="A40" s="26" t="s">
        <v>132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W40" s="32"/>
      <c r="X40" s="32"/>
      <c r="Y40" s="93"/>
      <c r="Z40" s="93"/>
      <c r="AA40" s="124"/>
      <c r="AB40" s="32"/>
      <c r="AC40" s="32"/>
      <c r="AD40" s="7"/>
      <c r="AE40" s="32"/>
      <c r="AF40" s="121"/>
      <c r="AG40" s="32"/>
      <c r="AH40" s="121"/>
      <c r="AI40" s="32"/>
      <c r="AJ40" s="121"/>
      <c r="AK40" s="32"/>
      <c r="AL40" s="121"/>
      <c r="AM40" s="32"/>
      <c r="AN40" s="32"/>
      <c r="AO40" s="32"/>
    </row>
    <row r="41" spans="1:41" ht="15.75">
      <c r="A41" s="26" t="s">
        <v>133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W41" s="32"/>
      <c r="X41" s="32"/>
      <c r="Y41" s="93"/>
      <c r="Z41" s="93"/>
      <c r="AA41" s="124"/>
      <c r="AB41" s="32"/>
      <c r="AC41" s="32"/>
      <c r="AD41" s="121"/>
      <c r="AE41" s="32"/>
      <c r="AF41" s="117"/>
      <c r="AG41" s="32"/>
      <c r="AH41" s="117"/>
      <c r="AI41" s="32"/>
      <c r="AJ41" s="117"/>
      <c r="AK41" s="32"/>
      <c r="AL41" s="117"/>
      <c r="AM41" s="32"/>
      <c r="AN41" s="32"/>
      <c r="AO41" s="32"/>
    </row>
    <row r="42" spans="1:41" ht="15.75">
      <c r="A42" s="71" t="s">
        <v>295</v>
      </c>
      <c r="B42" s="31"/>
      <c r="C42" s="93" t="s">
        <v>433</v>
      </c>
      <c r="D42" s="93" t="s">
        <v>433</v>
      </c>
      <c r="E42" s="93" t="s">
        <v>433</v>
      </c>
      <c r="F42" s="93" t="s">
        <v>433</v>
      </c>
      <c r="G42" s="93" t="s">
        <v>433</v>
      </c>
      <c r="H42" s="93" t="s">
        <v>433</v>
      </c>
      <c r="I42" s="93" t="s">
        <v>433</v>
      </c>
      <c r="J42" s="93" t="s">
        <v>433</v>
      </c>
      <c r="K42" s="93" t="s">
        <v>433</v>
      </c>
      <c r="L42" s="93" t="s">
        <v>433</v>
      </c>
      <c r="M42" s="93" t="s">
        <v>433</v>
      </c>
      <c r="N42" s="93" t="s">
        <v>433</v>
      </c>
      <c r="O42" s="93" t="s">
        <v>433</v>
      </c>
      <c r="P42" s="93" t="s">
        <v>433</v>
      </c>
      <c r="Q42" s="93" t="s">
        <v>433</v>
      </c>
      <c r="R42" s="93" t="s">
        <v>433</v>
      </c>
      <c r="S42" s="93" t="s">
        <v>433</v>
      </c>
      <c r="T42" s="93" t="s">
        <v>433</v>
      </c>
      <c r="U42" s="93" t="s">
        <v>433</v>
      </c>
      <c r="W42" s="93" t="s">
        <v>433</v>
      </c>
      <c r="X42" s="93" t="s">
        <v>433</v>
      </c>
      <c r="Y42" s="93"/>
      <c r="Z42" s="93"/>
      <c r="AA42" s="124"/>
      <c r="AB42" s="93" t="s">
        <v>433</v>
      </c>
      <c r="AC42" s="93" t="s">
        <v>433</v>
      </c>
      <c r="AD42" s="117"/>
      <c r="AE42" s="93" t="s">
        <v>433</v>
      </c>
      <c r="AF42" s="93"/>
      <c r="AG42" s="93" t="s">
        <v>433</v>
      </c>
      <c r="AH42" s="93"/>
      <c r="AI42" s="93" t="s">
        <v>433</v>
      </c>
      <c r="AJ42" s="93"/>
      <c r="AK42" s="93" t="s">
        <v>433</v>
      </c>
      <c r="AL42" s="93"/>
      <c r="AM42" s="93" t="s">
        <v>433</v>
      </c>
      <c r="AN42" s="93" t="s">
        <v>432</v>
      </c>
      <c r="AO42" s="93" t="s">
        <v>433</v>
      </c>
    </row>
    <row r="43" spans="1:41" ht="15.75">
      <c r="A43" s="71" t="s">
        <v>296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W43" s="32"/>
      <c r="X43" s="32"/>
      <c r="Y43" s="93"/>
      <c r="Z43" s="93"/>
      <c r="AA43" s="124"/>
      <c r="AB43" s="32"/>
      <c r="AC43" s="32"/>
      <c r="AD43" s="117"/>
      <c r="AE43" s="32"/>
      <c r="AF43" s="45"/>
      <c r="AG43" s="32"/>
      <c r="AH43" s="45"/>
      <c r="AI43" s="32"/>
      <c r="AJ43" s="45"/>
      <c r="AK43" s="32"/>
      <c r="AL43" s="45"/>
      <c r="AM43" s="32"/>
      <c r="AN43" s="29">
        <v>11111111</v>
      </c>
      <c r="AO43" s="32"/>
    </row>
    <row r="44" spans="1:41" ht="15.75">
      <c r="A44" s="71" t="s">
        <v>297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W44" s="32"/>
      <c r="X44" s="32"/>
      <c r="Y44" s="93"/>
      <c r="Z44" s="93"/>
      <c r="AA44" s="124"/>
      <c r="AB44" s="32"/>
      <c r="AC44" s="32"/>
      <c r="AD44" s="93"/>
      <c r="AE44" s="32"/>
      <c r="AF44" s="117"/>
      <c r="AG44" s="32"/>
      <c r="AH44" s="117"/>
      <c r="AI44" s="32"/>
      <c r="AJ44" s="117"/>
      <c r="AK44" s="32"/>
      <c r="AL44" s="117"/>
      <c r="AM44" s="32"/>
      <c r="AN44" s="93">
        <v>11800</v>
      </c>
      <c r="AO44" s="32"/>
    </row>
    <row r="45" spans="1:41" ht="15.75">
      <c r="A45" s="71" t="s">
        <v>446</v>
      </c>
      <c r="B45" s="31"/>
      <c r="C45" s="93" t="s">
        <v>433</v>
      </c>
      <c r="D45" s="93" t="s">
        <v>432</v>
      </c>
      <c r="E45" s="93" t="s">
        <v>432</v>
      </c>
      <c r="F45" s="93" t="s">
        <v>432</v>
      </c>
      <c r="G45" s="93" t="s">
        <v>432</v>
      </c>
      <c r="H45" s="93" t="s">
        <v>432</v>
      </c>
      <c r="I45" s="93" t="s">
        <v>432</v>
      </c>
      <c r="J45" s="93" t="s">
        <v>432</v>
      </c>
      <c r="K45" s="93" t="s">
        <v>432</v>
      </c>
      <c r="L45" s="93" t="s">
        <v>432</v>
      </c>
      <c r="M45" s="93" t="s">
        <v>432</v>
      </c>
      <c r="N45" s="93" t="s">
        <v>432</v>
      </c>
      <c r="O45" s="93" t="s">
        <v>432</v>
      </c>
      <c r="P45" s="93" t="s">
        <v>433</v>
      </c>
      <c r="Q45" s="93" t="s">
        <v>433</v>
      </c>
      <c r="R45" s="93" t="s">
        <v>433</v>
      </c>
      <c r="S45" s="93" t="s">
        <v>433</v>
      </c>
      <c r="T45" s="93" t="s">
        <v>433</v>
      </c>
      <c r="U45" s="93" t="s">
        <v>433</v>
      </c>
      <c r="W45" s="93" t="s">
        <v>433</v>
      </c>
      <c r="X45" s="93" t="s">
        <v>433</v>
      </c>
      <c r="Y45" s="93"/>
      <c r="Z45" s="93"/>
      <c r="AA45" s="124"/>
      <c r="AB45" s="93" t="s">
        <v>432</v>
      </c>
      <c r="AC45" s="93" t="s">
        <v>432</v>
      </c>
      <c r="AD45" s="45"/>
      <c r="AE45" s="93" t="s">
        <v>432</v>
      </c>
      <c r="AF45" s="117"/>
      <c r="AG45" s="93" t="s">
        <v>432</v>
      </c>
      <c r="AH45" s="117"/>
      <c r="AI45" s="93" t="s">
        <v>432</v>
      </c>
      <c r="AJ45" s="117"/>
      <c r="AK45" s="93" t="s">
        <v>432</v>
      </c>
      <c r="AL45" s="117"/>
      <c r="AM45" s="93" t="s">
        <v>432</v>
      </c>
      <c r="AN45" s="93" t="s">
        <v>433</v>
      </c>
      <c r="AO45" s="93" t="s">
        <v>432</v>
      </c>
    </row>
    <row r="46" spans="1:41" ht="15.75">
      <c r="A46" s="71" t="s">
        <v>298</v>
      </c>
      <c r="B46" s="31"/>
      <c r="C46" s="93" t="s">
        <v>433</v>
      </c>
      <c r="D46" s="93" t="s">
        <v>433</v>
      </c>
      <c r="E46" s="93" t="s">
        <v>433</v>
      </c>
      <c r="F46" s="93" t="s">
        <v>433</v>
      </c>
      <c r="G46" s="93" t="s">
        <v>433</v>
      </c>
      <c r="H46" s="93" t="s">
        <v>433</v>
      </c>
      <c r="I46" s="93" t="s">
        <v>433</v>
      </c>
      <c r="J46" s="93" t="s">
        <v>433</v>
      </c>
      <c r="K46" s="93" t="s">
        <v>433</v>
      </c>
      <c r="L46" s="93" t="s">
        <v>433</v>
      </c>
      <c r="M46" s="93" t="s">
        <v>433</v>
      </c>
      <c r="N46" s="93" t="s">
        <v>433</v>
      </c>
      <c r="O46" s="93" t="s">
        <v>433</v>
      </c>
      <c r="P46" s="93" t="s">
        <v>433</v>
      </c>
      <c r="Q46" s="93" t="s">
        <v>433</v>
      </c>
      <c r="R46" s="93" t="s">
        <v>433</v>
      </c>
      <c r="S46" s="93" t="s">
        <v>433</v>
      </c>
      <c r="T46" s="93" t="s">
        <v>433</v>
      </c>
      <c r="U46" s="93" t="s">
        <v>433</v>
      </c>
      <c r="W46" s="93" t="s">
        <v>433</v>
      </c>
      <c r="X46" s="93" t="s">
        <v>433</v>
      </c>
      <c r="Y46" s="93"/>
      <c r="Z46" s="93"/>
      <c r="AA46" s="124"/>
      <c r="AB46" s="93" t="s">
        <v>433</v>
      </c>
      <c r="AC46" s="93" t="s">
        <v>433</v>
      </c>
      <c r="AD46" s="117"/>
      <c r="AE46" s="93" t="s">
        <v>433</v>
      </c>
      <c r="AF46" s="29"/>
      <c r="AG46" s="93" t="s">
        <v>433</v>
      </c>
      <c r="AH46" s="29"/>
      <c r="AI46" s="93" t="s">
        <v>433</v>
      </c>
      <c r="AJ46" s="29"/>
      <c r="AK46" s="93" t="s">
        <v>433</v>
      </c>
      <c r="AL46" s="29"/>
      <c r="AM46" s="93" t="s">
        <v>433</v>
      </c>
      <c r="AN46" s="93" t="s">
        <v>433</v>
      </c>
      <c r="AO46" s="93" t="s">
        <v>433</v>
      </c>
    </row>
    <row r="47" spans="1:41" ht="15.75">
      <c r="A47" s="71" t="s">
        <v>299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W47" s="32"/>
      <c r="X47" s="32"/>
      <c r="Y47" s="93"/>
      <c r="Z47" s="93"/>
      <c r="AA47" s="124"/>
      <c r="AB47" s="32"/>
      <c r="AC47" s="32"/>
      <c r="AD47" s="117"/>
      <c r="AE47" s="32"/>
      <c r="AF47" s="7"/>
      <c r="AG47" s="32"/>
      <c r="AH47" s="7"/>
      <c r="AI47" s="32"/>
      <c r="AJ47" s="7"/>
      <c r="AK47" s="32"/>
      <c r="AL47" s="7"/>
      <c r="AM47" s="32"/>
      <c r="AN47" s="32"/>
      <c r="AO47" s="32"/>
    </row>
    <row r="48" spans="1:41" ht="15.75">
      <c r="A48" s="26" t="s">
        <v>134</v>
      </c>
      <c r="B48" s="31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W48" s="7">
        <v>0</v>
      </c>
      <c r="X48" s="7">
        <v>0</v>
      </c>
      <c r="Y48" s="7"/>
      <c r="Z48" s="7"/>
      <c r="AA48" s="124"/>
      <c r="AB48" s="7">
        <v>0</v>
      </c>
      <c r="AC48" s="7">
        <v>0</v>
      </c>
      <c r="AD48" s="29"/>
      <c r="AE48" s="7">
        <v>0</v>
      </c>
      <c r="AF48" s="7"/>
      <c r="AG48" s="7">
        <v>0</v>
      </c>
      <c r="AH48" s="7"/>
      <c r="AI48" s="7">
        <v>0</v>
      </c>
      <c r="AJ48" s="7"/>
      <c r="AK48" s="7">
        <v>0</v>
      </c>
      <c r="AL48" s="7"/>
      <c r="AM48" s="7">
        <v>0</v>
      </c>
      <c r="AN48" s="7">
        <v>0</v>
      </c>
      <c r="AO48" s="7">
        <v>0</v>
      </c>
    </row>
    <row r="49" spans="1:41" ht="15.75">
      <c r="A49" s="26" t="s">
        <v>434</v>
      </c>
      <c r="B49" s="31"/>
      <c r="C49" s="93" t="s">
        <v>432</v>
      </c>
      <c r="D49" s="93" t="s">
        <v>433</v>
      </c>
      <c r="E49" s="93" t="s">
        <v>433</v>
      </c>
      <c r="F49" s="93" t="s">
        <v>433</v>
      </c>
      <c r="G49" s="93" t="s">
        <v>433</v>
      </c>
      <c r="H49" s="93" t="s">
        <v>433</v>
      </c>
      <c r="I49" s="93" t="s">
        <v>433</v>
      </c>
      <c r="J49" s="93" t="s">
        <v>433</v>
      </c>
      <c r="K49" s="93" t="s">
        <v>433</v>
      </c>
      <c r="L49" s="93" t="s">
        <v>433</v>
      </c>
      <c r="M49" s="93" t="s">
        <v>433</v>
      </c>
      <c r="N49" s="93" t="s">
        <v>433</v>
      </c>
      <c r="O49" s="93" t="s">
        <v>433</v>
      </c>
      <c r="P49" s="93" t="s">
        <v>432</v>
      </c>
      <c r="Q49" s="93" t="s">
        <v>432</v>
      </c>
      <c r="R49" s="93" t="s">
        <v>432</v>
      </c>
      <c r="S49" s="93" t="s">
        <v>432</v>
      </c>
      <c r="T49" s="93" t="s">
        <v>432</v>
      </c>
      <c r="U49" s="93" t="s">
        <v>432</v>
      </c>
      <c r="W49" s="93" t="s">
        <v>432</v>
      </c>
      <c r="X49" s="93" t="s">
        <v>432</v>
      </c>
      <c r="Y49" s="93"/>
      <c r="Z49" s="93"/>
      <c r="AA49" s="124"/>
      <c r="AB49" s="93" t="s">
        <v>433</v>
      </c>
      <c r="AC49" s="93" t="s">
        <v>433</v>
      </c>
      <c r="AD49" s="7"/>
      <c r="AE49" s="93" t="s">
        <v>433</v>
      </c>
      <c r="AF49" s="7"/>
      <c r="AG49" s="93" t="s">
        <v>433</v>
      </c>
      <c r="AH49" s="7"/>
      <c r="AI49" s="93" t="s">
        <v>433</v>
      </c>
      <c r="AJ49" s="7"/>
      <c r="AK49" s="93" t="s">
        <v>433</v>
      </c>
      <c r="AL49" s="7"/>
      <c r="AM49" s="93" t="s">
        <v>433</v>
      </c>
      <c r="AN49" s="93" t="s">
        <v>432</v>
      </c>
      <c r="AO49" s="93" t="s">
        <v>433</v>
      </c>
    </row>
    <row r="50" spans="1:41" ht="15.75">
      <c r="A50" s="26" t="s">
        <v>436</v>
      </c>
      <c r="B50" s="31" t="s">
        <v>435</v>
      </c>
      <c r="C50" s="93" t="s">
        <v>433</v>
      </c>
      <c r="D50" s="93" t="s">
        <v>433</v>
      </c>
      <c r="E50" s="93" t="s">
        <v>433</v>
      </c>
      <c r="F50" s="93" t="s">
        <v>433</v>
      </c>
      <c r="G50" s="93" t="s">
        <v>433</v>
      </c>
      <c r="H50" s="93" t="s">
        <v>433</v>
      </c>
      <c r="I50" s="93" t="s">
        <v>433</v>
      </c>
      <c r="J50" s="93" t="s">
        <v>433</v>
      </c>
      <c r="K50" s="93" t="s">
        <v>433</v>
      </c>
      <c r="L50" s="93" t="s">
        <v>433</v>
      </c>
      <c r="M50" s="93" t="s">
        <v>433</v>
      </c>
      <c r="N50" s="93" t="s">
        <v>433</v>
      </c>
      <c r="O50" s="93" t="s">
        <v>433</v>
      </c>
      <c r="P50" s="93" t="s">
        <v>433</v>
      </c>
      <c r="Q50" s="93" t="s">
        <v>433</v>
      </c>
      <c r="R50" s="93" t="s">
        <v>433</v>
      </c>
      <c r="S50" s="93" t="s">
        <v>433</v>
      </c>
      <c r="T50" s="93" t="s">
        <v>433</v>
      </c>
      <c r="U50" s="93" t="s">
        <v>433</v>
      </c>
      <c r="W50" s="93" t="s">
        <v>433</v>
      </c>
      <c r="X50" s="93" t="s">
        <v>433</v>
      </c>
      <c r="Y50" s="93"/>
      <c r="Z50" s="93"/>
      <c r="AA50" s="124"/>
      <c r="AB50" s="93" t="s">
        <v>432</v>
      </c>
      <c r="AC50" s="93" t="s">
        <v>433</v>
      </c>
      <c r="AD50" s="7"/>
      <c r="AE50" s="93" t="s">
        <v>433</v>
      </c>
      <c r="AF50" s="93"/>
      <c r="AG50" s="93" t="s">
        <v>433</v>
      </c>
      <c r="AH50" s="93"/>
      <c r="AI50" s="93" t="s">
        <v>433</v>
      </c>
      <c r="AJ50" s="93"/>
      <c r="AK50" s="93" t="s">
        <v>433</v>
      </c>
      <c r="AL50" s="93"/>
      <c r="AM50" s="93" t="s">
        <v>433</v>
      </c>
      <c r="AN50" s="93" t="s">
        <v>433</v>
      </c>
      <c r="AO50" s="93" t="s">
        <v>432</v>
      </c>
    </row>
    <row r="51" spans="1:41" ht="15.75">
      <c r="A51" s="22" t="s">
        <v>135</v>
      </c>
      <c r="B51" s="2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W51" s="24"/>
      <c r="X51" s="24"/>
      <c r="Y51" s="7"/>
      <c r="Z51" s="7"/>
      <c r="AA51" s="124"/>
      <c r="AB51" s="24"/>
      <c r="AC51" s="24"/>
      <c r="AD51" s="7"/>
      <c r="AE51" s="24"/>
      <c r="AF51" s="93"/>
      <c r="AG51" s="24"/>
      <c r="AH51" s="93"/>
      <c r="AI51" s="24"/>
      <c r="AJ51" s="93"/>
      <c r="AK51" s="24"/>
      <c r="AL51" s="93"/>
      <c r="AM51" s="24"/>
      <c r="AN51" s="24"/>
      <c r="AO51" s="24"/>
    </row>
    <row r="52" spans="1:41" ht="15.75">
      <c r="A52" s="33" t="s">
        <v>136</v>
      </c>
      <c r="B52" s="26" t="s">
        <v>445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W52" s="7">
        <v>0</v>
      </c>
      <c r="X52" s="7">
        <v>0</v>
      </c>
      <c r="Y52" s="7"/>
      <c r="Z52" s="7"/>
      <c r="AA52" s="124"/>
      <c r="AB52" s="7">
        <v>0</v>
      </c>
      <c r="AC52" s="7">
        <v>0</v>
      </c>
      <c r="AD52" s="93"/>
      <c r="AE52" s="7">
        <v>0</v>
      </c>
      <c r="AF52" s="45"/>
      <c r="AG52" s="7">
        <v>0</v>
      </c>
      <c r="AH52" s="45"/>
      <c r="AI52" s="7">
        <v>0</v>
      </c>
      <c r="AJ52" s="45"/>
      <c r="AK52" s="7">
        <v>0</v>
      </c>
      <c r="AL52" s="45"/>
      <c r="AM52" s="7">
        <v>0</v>
      </c>
      <c r="AN52" s="7">
        <v>0</v>
      </c>
      <c r="AO52" s="7">
        <v>0</v>
      </c>
    </row>
    <row r="53" spans="1:41" ht="15.75">
      <c r="A53" s="26" t="s">
        <v>137</v>
      </c>
      <c r="B53" s="26"/>
      <c r="C53" s="7">
        <v>1</v>
      </c>
      <c r="D53" s="7">
        <v>1</v>
      </c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  <c r="P53" s="7">
        <v>1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W53" s="7">
        <v>1</v>
      </c>
      <c r="X53" s="7">
        <v>2</v>
      </c>
      <c r="Y53" s="7"/>
      <c r="Z53" s="7"/>
      <c r="AA53" s="124"/>
      <c r="AB53" s="7">
        <v>1</v>
      </c>
      <c r="AC53" s="7">
        <v>1</v>
      </c>
      <c r="AD53" s="93"/>
      <c r="AE53" s="7">
        <v>1</v>
      </c>
      <c r="AF53" s="7"/>
      <c r="AG53" s="7">
        <v>1</v>
      </c>
      <c r="AH53" s="7"/>
      <c r="AI53" s="7">
        <v>1</v>
      </c>
      <c r="AJ53" s="7"/>
      <c r="AK53" s="7">
        <v>1</v>
      </c>
      <c r="AL53" s="7"/>
      <c r="AM53" s="7">
        <v>1</v>
      </c>
      <c r="AN53" s="7">
        <v>1</v>
      </c>
      <c r="AO53" s="7">
        <v>1</v>
      </c>
    </row>
    <row r="54" spans="1:41" ht="15.75">
      <c r="A54" s="26" t="s">
        <v>138</v>
      </c>
      <c r="B54" s="26"/>
      <c r="C54" s="117" t="s">
        <v>101</v>
      </c>
      <c r="D54" s="93" t="s">
        <v>100</v>
      </c>
      <c r="E54" s="93" t="s">
        <v>101</v>
      </c>
      <c r="F54" s="93" t="s">
        <v>101</v>
      </c>
      <c r="G54" s="93" t="s">
        <v>100</v>
      </c>
      <c r="H54" s="93" t="s">
        <v>139</v>
      </c>
      <c r="I54" s="93" t="s">
        <v>99</v>
      </c>
      <c r="J54" s="93" t="s">
        <v>100</v>
      </c>
      <c r="K54" s="93" t="s">
        <v>101</v>
      </c>
      <c r="L54" s="93" t="s">
        <v>139</v>
      </c>
      <c r="M54" s="93" t="s">
        <v>99</v>
      </c>
      <c r="N54" s="93" t="s">
        <v>100</v>
      </c>
      <c r="O54" s="93" t="s">
        <v>101</v>
      </c>
      <c r="P54" s="93" t="s">
        <v>100</v>
      </c>
      <c r="Q54" s="93" t="s">
        <v>101</v>
      </c>
      <c r="R54" s="93" t="s">
        <v>101</v>
      </c>
      <c r="S54" s="93" t="s">
        <v>100</v>
      </c>
      <c r="T54" s="93" t="s">
        <v>99</v>
      </c>
      <c r="U54" s="117" t="s">
        <v>101</v>
      </c>
      <c r="W54" s="93" t="s">
        <v>100</v>
      </c>
      <c r="X54" s="93" t="s">
        <v>100</v>
      </c>
      <c r="Y54" s="93"/>
      <c r="Z54" s="93"/>
      <c r="AA54" s="124"/>
      <c r="AB54" s="93" t="s">
        <v>99</v>
      </c>
      <c r="AC54" s="117" t="s">
        <v>139</v>
      </c>
      <c r="AD54" s="45"/>
      <c r="AE54" s="117" t="s">
        <v>139</v>
      </c>
      <c r="AF54" s="28"/>
      <c r="AG54" s="117" t="s">
        <v>139</v>
      </c>
      <c r="AH54" s="28"/>
      <c r="AI54" s="117" t="s">
        <v>139</v>
      </c>
      <c r="AJ54" s="28"/>
      <c r="AK54" s="117" t="s">
        <v>139</v>
      </c>
      <c r="AL54" s="28"/>
      <c r="AM54" s="117" t="s">
        <v>139</v>
      </c>
      <c r="AN54" s="93" t="s">
        <v>99</v>
      </c>
      <c r="AO54" s="93" t="s">
        <v>101</v>
      </c>
    </row>
    <row r="55" spans="1:41" ht="15.75">
      <c r="A55" s="26" t="s">
        <v>140</v>
      </c>
      <c r="B55" s="26"/>
      <c r="C55" s="118" t="s">
        <v>442</v>
      </c>
      <c r="D55" s="3" t="s">
        <v>141</v>
      </c>
      <c r="E55" s="3" t="s">
        <v>143</v>
      </c>
      <c r="F55" s="3" t="s">
        <v>142</v>
      </c>
      <c r="G55" s="3" t="s">
        <v>141</v>
      </c>
      <c r="H55" s="123" t="s">
        <v>442</v>
      </c>
      <c r="I55" s="123" t="s">
        <v>442</v>
      </c>
      <c r="J55" s="123" t="s">
        <v>442</v>
      </c>
      <c r="K55" s="123" t="s">
        <v>442</v>
      </c>
      <c r="L55" s="123" t="s">
        <v>443</v>
      </c>
      <c r="M55" s="123" t="s">
        <v>443</v>
      </c>
      <c r="N55" s="123" t="s">
        <v>443</v>
      </c>
      <c r="O55" s="123" t="s">
        <v>443</v>
      </c>
      <c r="P55" s="3" t="s">
        <v>141</v>
      </c>
      <c r="Q55" s="3" t="s">
        <v>143</v>
      </c>
      <c r="R55" s="3" t="s">
        <v>142</v>
      </c>
      <c r="S55" s="3" t="s">
        <v>141</v>
      </c>
      <c r="T55" s="3" t="s">
        <v>143</v>
      </c>
      <c r="U55" s="118" t="s">
        <v>431</v>
      </c>
      <c r="W55" s="118" t="s">
        <v>141</v>
      </c>
      <c r="X55" s="3" t="s">
        <v>141</v>
      </c>
      <c r="Y55" s="3"/>
      <c r="Z55" s="3"/>
      <c r="AA55" s="124"/>
      <c r="AB55" s="3" t="s">
        <v>431</v>
      </c>
      <c r="AC55" s="118" t="s">
        <v>144</v>
      </c>
      <c r="AD55" s="7"/>
      <c r="AE55" s="118" t="s">
        <v>142</v>
      </c>
      <c r="AF55" s="7"/>
      <c r="AG55" s="118" t="s">
        <v>142</v>
      </c>
      <c r="AH55" s="7"/>
      <c r="AI55" s="118" t="s">
        <v>142</v>
      </c>
      <c r="AJ55" s="7"/>
      <c r="AK55" s="118" t="s">
        <v>142</v>
      </c>
      <c r="AL55" s="7"/>
      <c r="AM55" s="118" t="s">
        <v>142</v>
      </c>
      <c r="AN55" s="3" t="s">
        <v>143</v>
      </c>
      <c r="AO55" s="118" t="s">
        <v>431</v>
      </c>
    </row>
    <row r="56" spans="1:41" ht="15.75">
      <c r="A56" s="26" t="s">
        <v>146</v>
      </c>
      <c r="B56" s="26"/>
      <c r="C56" s="117">
        <v>16200</v>
      </c>
      <c r="D56" s="7">
        <v>16200</v>
      </c>
      <c r="E56" s="7">
        <v>16200</v>
      </c>
      <c r="F56" s="7">
        <v>16200</v>
      </c>
      <c r="G56" s="7">
        <v>16200</v>
      </c>
      <c r="H56" s="7">
        <v>16200</v>
      </c>
      <c r="I56" s="7">
        <v>16200</v>
      </c>
      <c r="J56" s="7">
        <v>16200</v>
      </c>
      <c r="K56" s="7">
        <v>16200</v>
      </c>
      <c r="L56" s="7">
        <v>16200</v>
      </c>
      <c r="M56" s="7">
        <v>16200</v>
      </c>
      <c r="N56" s="7">
        <v>16200</v>
      </c>
      <c r="O56" s="7">
        <v>16200</v>
      </c>
      <c r="P56" s="7">
        <v>16200</v>
      </c>
      <c r="Q56" s="7">
        <v>16200</v>
      </c>
      <c r="R56" s="7">
        <v>16200</v>
      </c>
      <c r="S56" s="7">
        <v>16200</v>
      </c>
      <c r="T56" s="7">
        <v>16200</v>
      </c>
      <c r="U56" s="117">
        <v>16200</v>
      </c>
      <c r="W56" s="117">
        <v>16200</v>
      </c>
      <c r="X56" s="7">
        <v>16200</v>
      </c>
      <c r="Y56" s="7"/>
      <c r="Z56" s="7"/>
      <c r="AA56" s="124"/>
      <c r="AB56" s="7">
        <v>16200</v>
      </c>
      <c r="AC56" s="117">
        <v>64800</v>
      </c>
      <c r="AD56" s="28"/>
      <c r="AE56" s="117">
        <v>64800</v>
      </c>
      <c r="AF56" s="121"/>
      <c r="AG56" s="117">
        <v>64800</v>
      </c>
      <c r="AH56" s="121"/>
      <c r="AI56" s="117">
        <v>64800</v>
      </c>
      <c r="AJ56" s="121"/>
      <c r="AK56" s="117">
        <v>64800</v>
      </c>
      <c r="AL56" s="121"/>
      <c r="AM56" s="117">
        <v>64800</v>
      </c>
      <c r="AN56" s="7">
        <v>16200</v>
      </c>
      <c r="AO56" s="117">
        <v>16200</v>
      </c>
    </row>
    <row r="57" spans="1:41" ht="15.75">
      <c r="A57" s="26" t="s">
        <v>147</v>
      </c>
      <c r="B57" s="26"/>
      <c r="C57" s="117" t="s">
        <v>88</v>
      </c>
      <c r="D57" s="7" t="s">
        <v>88</v>
      </c>
      <c r="E57" s="5" t="s">
        <v>88</v>
      </c>
      <c r="F57" s="45" t="s">
        <v>88</v>
      </c>
      <c r="G57" s="121" t="s">
        <v>89</v>
      </c>
      <c r="H57" s="121" t="s">
        <v>89</v>
      </c>
      <c r="I57" s="45" t="s">
        <v>88</v>
      </c>
      <c r="J57" s="121" t="s">
        <v>89</v>
      </c>
      <c r="K57" s="45" t="s">
        <v>88</v>
      </c>
      <c r="L57" s="121" t="s">
        <v>89</v>
      </c>
      <c r="M57" s="45" t="s">
        <v>89</v>
      </c>
      <c r="N57" s="117" t="s">
        <v>88</v>
      </c>
      <c r="O57" s="45" t="s">
        <v>88</v>
      </c>
      <c r="P57" s="117" t="s">
        <v>88</v>
      </c>
      <c r="Q57" s="45" t="s">
        <v>88</v>
      </c>
      <c r="R57" s="121" t="s">
        <v>89</v>
      </c>
      <c r="S57" s="45" t="s">
        <v>88</v>
      </c>
      <c r="T57" s="45" t="s">
        <v>88</v>
      </c>
      <c r="U57" s="117" t="s">
        <v>88</v>
      </c>
      <c r="W57" s="7" t="s">
        <v>89</v>
      </c>
      <c r="X57" s="7" t="s">
        <v>88</v>
      </c>
      <c r="Y57" s="7"/>
      <c r="Z57" s="7"/>
      <c r="AA57" s="124"/>
      <c r="AB57" s="7" t="s">
        <v>88</v>
      </c>
      <c r="AC57" s="117" t="s">
        <v>88</v>
      </c>
      <c r="AD57" s="7"/>
      <c r="AE57" s="117" t="s">
        <v>88</v>
      </c>
      <c r="AF57" s="117"/>
      <c r="AG57" s="117" t="s">
        <v>88</v>
      </c>
      <c r="AH57" s="117"/>
      <c r="AI57" s="117" t="s">
        <v>88</v>
      </c>
      <c r="AJ57" s="117"/>
      <c r="AK57" s="117" t="s">
        <v>88</v>
      </c>
      <c r="AL57" s="117"/>
      <c r="AM57" s="117" t="s">
        <v>88</v>
      </c>
      <c r="AN57" s="45" t="s">
        <v>88</v>
      </c>
      <c r="AO57" s="7" t="s">
        <v>89</v>
      </c>
    </row>
    <row r="58" spans="1:41" ht="47.25">
      <c r="A58" s="26" t="s">
        <v>148</v>
      </c>
      <c r="B58" s="31" t="s">
        <v>149</v>
      </c>
      <c r="C58" s="117">
        <v>48</v>
      </c>
      <c r="D58" s="7">
        <v>64</v>
      </c>
      <c r="E58" s="7">
        <v>32</v>
      </c>
      <c r="F58" s="7">
        <v>19</v>
      </c>
      <c r="G58" s="7">
        <v>64</v>
      </c>
      <c r="H58" s="126">
        <v>120</v>
      </c>
      <c r="I58" s="126">
        <v>95</v>
      </c>
      <c r="J58" s="126">
        <v>60</v>
      </c>
      <c r="K58" s="126">
        <v>30</v>
      </c>
      <c r="L58" s="126">
        <v>120</v>
      </c>
      <c r="M58" s="126">
        <v>95</v>
      </c>
      <c r="N58" s="126">
        <v>60</v>
      </c>
      <c r="O58" s="126">
        <v>30</v>
      </c>
      <c r="P58" s="126">
        <v>60</v>
      </c>
      <c r="Q58" s="126">
        <v>32</v>
      </c>
      <c r="R58" s="126">
        <v>30</v>
      </c>
      <c r="S58" s="126">
        <v>63</v>
      </c>
      <c r="T58" s="126">
        <v>47</v>
      </c>
      <c r="U58" s="117">
        <v>38</v>
      </c>
      <c r="W58" s="117">
        <v>64</v>
      </c>
      <c r="X58" s="7">
        <v>62</v>
      </c>
      <c r="Y58" s="7"/>
      <c r="Z58" s="7"/>
      <c r="AA58" s="124"/>
      <c r="AB58" s="7">
        <v>37</v>
      </c>
      <c r="AC58" s="117">
        <v>114</v>
      </c>
      <c r="AD58" s="121"/>
      <c r="AE58" s="117">
        <v>114</v>
      </c>
      <c r="AF58" s="117"/>
      <c r="AG58" s="117">
        <v>112</v>
      </c>
      <c r="AH58" s="117"/>
      <c r="AI58" s="117">
        <v>114</v>
      </c>
      <c r="AJ58" s="117"/>
      <c r="AK58" s="117">
        <v>117</v>
      </c>
      <c r="AL58" s="117"/>
      <c r="AM58" s="117">
        <v>202</v>
      </c>
      <c r="AN58" s="126">
        <v>86</v>
      </c>
      <c r="AO58" s="117">
        <v>9</v>
      </c>
    </row>
    <row r="59" spans="1:41" ht="31.5">
      <c r="A59" s="26" t="s">
        <v>150</v>
      </c>
      <c r="B59" s="31" t="s">
        <v>151</v>
      </c>
      <c r="C59" s="117">
        <v>48</v>
      </c>
      <c r="D59" s="7">
        <v>64</v>
      </c>
      <c r="E59" s="7">
        <v>32</v>
      </c>
      <c r="F59" s="7">
        <v>19</v>
      </c>
      <c r="G59" s="7">
        <v>64</v>
      </c>
      <c r="H59" s="126">
        <v>120</v>
      </c>
      <c r="I59" s="126">
        <v>95</v>
      </c>
      <c r="J59" s="126">
        <v>60</v>
      </c>
      <c r="K59" s="126">
        <v>30</v>
      </c>
      <c r="L59" s="126">
        <v>120</v>
      </c>
      <c r="M59" s="126">
        <v>95</v>
      </c>
      <c r="N59" s="126">
        <v>60</v>
      </c>
      <c r="O59" s="126">
        <v>30</v>
      </c>
      <c r="P59" s="126">
        <v>60</v>
      </c>
      <c r="Q59" s="126">
        <v>32</v>
      </c>
      <c r="R59" s="126">
        <v>30</v>
      </c>
      <c r="S59" s="126">
        <v>63</v>
      </c>
      <c r="T59" s="126">
        <v>47</v>
      </c>
      <c r="U59" s="117">
        <v>38</v>
      </c>
      <c r="W59" s="117">
        <v>64</v>
      </c>
      <c r="X59" s="7">
        <v>62</v>
      </c>
      <c r="Y59" s="7"/>
      <c r="Z59" s="7"/>
      <c r="AA59" s="124"/>
      <c r="AB59" s="7">
        <v>37</v>
      </c>
      <c r="AC59" s="117">
        <v>114</v>
      </c>
      <c r="AD59" s="117"/>
      <c r="AE59" s="117">
        <v>114</v>
      </c>
      <c r="AF59" s="117"/>
      <c r="AG59" s="117">
        <v>112</v>
      </c>
      <c r="AH59" s="117"/>
      <c r="AI59" s="117">
        <v>114</v>
      </c>
      <c r="AJ59" s="117"/>
      <c r="AK59" s="117">
        <v>117</v>
      </c>
      <c r="AL59" s="117"/>
      <c r="AM59" s="117">
        <v>202</v>
      </c>
      <c r="AN59" s="126">
        <v>86</v>
      </c>
      <c r="AO59" s="117">
        <v>9</v>
      </c>
    </row>
    <row r="60" spans="1:41" ht="15.75">
      <c r="A60" s="26" t="s">
        <v>152</v>
      </c>
      <c r="B60" s="26" t="s">
        <v>153</v>
      </c>
      <c r="C60" s="7">
        <v>2</v>
      </c>
      <c r="D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1</v>
      </c>
      <c r="S60" s="7">
        <v>1</v>
      </c>
      <c r="T60" s="7">
        <v>1</v>
      </c>
      <c r="U60" s="121">
        <v>2</v>
      </c>
      <c r="W60" s="7">
        <v>1</v>
      </c>
      <c r="X60" s="7">
        <v>1</v>
      </c>
      <c r="Y60" s="7"/>
      <c r="Z60" s="7"/>
      <c r="AA60" s="124"/>
      <c r="AB60" s="7">
        <v>1</v>
      </c>
      <c r="AC60" s="7">
        <v>3</v>
      </c>
      <c r="AD60" s="117"/>
      <c r="AE60" s="7">
        <v>3</v>
      </c>
      <c r="AF60" s="7"/>
      <c r="AG60" s="7">
        <v>3</v>
      </c>
      <c r="AH60" s="7"/>
      <c r="AI60" s="7">
        <v>3</v>
      </c>
      <c r="AJ60" s="7"/>
      <c r="AK60" s="7">
        <v>3</v>
      </c>
      <c r="AL60" s="7"/>
      <c r="AM60" s="7">
        <v>3</v>
      </c>
      <c r="AN60" s="7">
        <v>1</v>
      </c>
      <c r="AO60" s="7">
        <v>1</v>
      </c>
    </row>
    <row r="61" spans="1:41" ht="15.75">
      <c r="A61" s="26" t="s">
        <v>154</v>
      </c>
      <c r="B61" s="26" t="s">
        <v>153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1</v>
      </c>
      <c r="M61" s="7">
        <v>1</v>
      </c>
      <c r="N61" s="7">
        <v>1</v>
      </c>
      <c r="O61" s="7">
        <v>1</v>
      </c>
      <c r="P61" s="7">
        <v>1</v>
      </c>
      <c r="Q61" s="7">
        <v>1</v>
      </c>
      <c r="R61" s="7">
        <v>1</v>
      </c>
      <c r="S61" s="7">
        <v>1</v>
      </c>
      <c r="T61" s="7">
        <v>1</v>
      </c>
      <c r="U61" s="117">
        <v>1</v>
      </c>
      <c r="W61" s="7">
        <v>1</v>
      </c>
      <c r="X61" s="7">
        <v>1</v>
      </c>
      <c r="Y61" s="7"/>
      <c r="Z61" s="7"/>
      <c r="AA61" s="124"/>
      <c r="AB61" s="7">
        <v>1</v>
      </c>
      <c r="AC61" s="7">
        <v>1</v>
      </c>
      <c r="AD61" s="7"/>
      <c r="AE61" s="7">
        <v>1</v>
      </c>
      <c r="AF61" s="7"/>
      <c r="AG61" s="7">
        <v>1</v>
      </c>
      <c r="AH61" s="7"/>
      <c r="AI61" s="7">
        <v>1</v>
      </c>
      <c r="AJ61" s="7"/>
      <c r="AK61" s="7">
        <v>1</v>
      </c>
      <c r="AL61" s="7"/>
      <c r="AM61" s="7">
        <v>1</v>
      </c>
      <c r="AN61" s="7">
        <v>1</v>
      </c>
      <c r="AO61" s="7">
        <v>1</v>
      </c>
    </row>
    <row r="62" spans="1:41" ht="15.75">
      <c r="A62" s="26" t="s">
        <v>155</v>
      </c>
      <c r="B62" s="26"/>
      <c r="C62" s="7">
        <v>1</v>
      </c>
      <c r="D62" s="7">
        <v>1</v>
      </c>
      <c r="E62" s="7">
        <v>1</v>
      </c>
      <c r="F62" s="7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117">
        <v>1</v>
      </c>
      <c r="W62" s="7">
        <v>1</v>
      </c>
      <c r="X62" s="7">
        <v>1</v>
      </c>
      <c r="Y62" s="7"/>
      <c r="Z62" s="7"/>
      <c r="AA62" s="124"/>
      <c r="AB62" s="7">
        <v>1</v>
      </c>
      <c r="AC62" s="7">
        <v>1</v>
      </c>
      <c r="AD62" s="93"/>
      <c r="AE62" s="7">
        <v>1</v>
      </c>
      <c r="AF62" s="7"/>
      <c r="AG62" s="7">
        <v>1</v>
      </c>
      <c r="AH62" s="7"/>
      <c r="AI62" s="7">
        <v>1</v>
      </c>
      <c r="AJ62" s="7"/>
      <c r="AK62" s="7">
        <v>1</v>
      </c>
      <c r="AL62" s="7"/>
      <c r="AM62" s="7">
        <v>1</v>
      </c>
      <c r="AN62" s="7">
        <v>1</v>
      </c>
      <c r="AO62" s="7">
        <v>1</v>
      </c>
    </row>
    <row r="63" spans="1:41" ht="15.75">
      <c r="A63" s="26" t="s">
        <v>156</v>
      </c>
      <c r="B63" s="2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117">
        <v>0</v>
      </c>
      <c r="W63" s="7">
        <v>0</v>
      </c>
      <c r="X63" s="7">
        <v>0</v>
      </c>
      <c r="Y63" s="7"/>
      <c r="Z63" s="7"/>
      <c r="AA63" s="124"/>
      <c r="AB63" s="7">
        <v>0</v>
      </c>
      <c r="AC63" s="7">
        <v>0</v>
      </c>
      <c r="AD63" s="45"/>
      <c r="AE63" s="7">
        <v>0</v>
      </c>
      <c r="AF63" s="7"/>
      <c r="AG63" s="7">
        <v>0</v>
      </c>
      <c r="AH63" s="7"/>
      <c r="AI63" s="7">
        <v>0</v>
      </c>
      <c r="AJ63" s="7"/>
      <c r="AK63" s="7">
        <v>0</v>
      </c>
      <c r="AL63" s="7"/>
      <c r="AM63" s="7">
        <v>0</v>
      </c>
      <c r="AN63" s="7">
        <v>0</v>
      </c>
      <c r="AO63" s="7">
        <v>0</v>
      </c>
    </row>
    <row r="64" spans="1:41" ht="15.75">
      <c r="A64" s="26" t="s">
        <v>157</v>
      </c>
      <c r="B64" s="26"/>
      <c r="C64" s="121">
        <v>2</v>
      </c>
      <c r="D64" s="7">
        <v>1</v>
      </c>
      <c r="E64" s="7">
        <v>1</v>
      </c>
      <c r="F64" s="7">
        <v>1</v>
      </c>
      <c r="G64" s="7">
        <v>1</v>
      </c>
      <c r="H64" s="7">
        <v>1</v>
      </c>
      <c r="I64" s="7">
        <f>IF(I63=1,I61,I60)</f>
        <v>1</v>
      </c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  <c r="P64" s="7">
        <v>1</v>
      </c>
      <c r="Q64" s="7">
        <v>1</v>
      </c>
      <c r="R64" s="7">
        <v>1</v>
      </c>
      <c r="S64" s="7">
        <v>1</v>
      </c>
      <c r="T64" s="7">
        <v>1</v>
      </c>
      <c r="U64" s="121">
        <v>2</v>
      </c>
      <c r="V64" s="124"/>
      <c r="W64" s="7">
        <v>1</v>
      </c>
      <c r="X64" s="7">
        <v>1</v>
      </c>
      <c r="Y64" s="7"/>
      <c r="Z64" s="7"/>
      <c r="AA64" s="124"/>
      <c r="AB64" s="7">
        <v>1</v>
      </c>
      <c r="AC64" s="7">
        <f>IF(AC63=1,AC61,AC60)</f>
        <v>3</v>
      </c>
      <c r="AD64" s="117"/>
      <c r="AE64" s="7">
        <f>IF(AE63=1,AE61,AE60)</f>
        <v>3</v>
      </c>
      <c r="AF64" s="93"/>
      <c r="AG64" s="7">
        <f>IF(AG63=1,AG61,AG60)</f>
        <v>3</v>
      </c>
      <c r="AH64" s="93"/>
      <c r="AI64" s="7">
        <f>IF(AI63=1,AI61,AI60)</f>
        <v>3</v>
      </c>
      <c r="AJ64" s="93"/>
      <c r="AK64" s="7">
        <f>IF(AK63=1,AK61,AK60)</f>
        <v>3</v>
      </c>
      <c r="AL64" s="93"/>
      <c r="AM64" s="7">
        <f>IF(AM63=1,AM61,AM60)</f>
        <v>3</v>
      </c>
      <c r="AN64" s="7">
        <v>1</v>
      </c>
      <c r="AO64" s="7">
        <v>1</v>
      </c>
    </row>
    <row r="65" spans="1:42" ht="15.75">
      <c r="A65" s="37" t="s">
        <v>158</v>
      </c>
      <c r="B65" s="2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124"/>
      <c r="W65" s="24"/>
      <c r="X65" s="24"/>
      <c r="Y65" s="7"/>
      <c r="Z65" s="7"/>
      <c r="AA65" s="124"/>
      <c r="AB65" s="24"/>
      <c r="AC65" s="24"/>
      <c r="AD65" s="117"/>
      <c r="AE65" s="24"/>
      <c r="AF65" s="45"/>
      <c r="AG65" s="24"/>
      <c r="AH65" s="45"/>
      <c r="AI65" s="24"/>
      <c r="AJ65" s="45"/>
      <c r="AK65" s="24"/>
      <c r="AL65" s="45"/>
      <c r="AM65" s="24"/>
      <c r="AN65" s="24"/>
      <c r="AO65" s="24"/>
    </row>
    <row r="66" spans="1:42" ht="15.75">
      <c r="A66" s="26" t="s">
        <v>159</v>
      </c>
      <c r="B66" s="26"/>
      <c r="C66" s="7" t="s">
        <v>160</v>
      </c>
      <c r="D66" s="7" t="s">
        <v>160</v>
      </c>
      <c r="E66" s="7" t="s">
        <v>160</v>
      </c>
      <c r="F66" s="7" t="s">
        <v>160</v>
      </c>
      <c r="G66" s="7" t="s">
        <v>160</v>
      </c>
      <c r="H66" s="7" t="s">
        <v>160</v>
      </c>
      <c r="I66" s="7" t="s">
        <v>160</v>
      </c>
      <c r="J66" s="7" t="s">
        <v>160</v>
      </c>
      <c r="K66" s="7" t="s">
        <v>160</v>
      </c>
      <c r="L66" s="7" t="s">
        <v>160</v>
      </c>
      <c r="M66" s="7" t="s">
        <v>160</v>
      </c>
      <c r="N66" s="7" t="s">
        <v>160</v>
      </c>
      <c r="O66" s="7" t="s">
        <v>160</v>
      </c>
      <c r="P66" s="7" t="s">
        <v>160</v>
      </c>
      <c r="Q66" s="7" t="s">
        <v>160</v>
      </c>
      <c r="R66" s="7" t="s">
        <v>160</v>
      </c>
      <c r="S66" s="7" t="s">
        <v>160</v>
      </c>
      <c r="T66" s="7" t="s">
        <v>160</v>
      </c>
      <c r="U66" s="7" t="s">
        <v>160</v>
      </c>
      <c r="V66" s="124"/>
      <c r="W66" s="7" t="s">
        <v>160</v>
      </c>
      <c r="X66" s="7" t="s">
        <v>160</v>
      </c>
      <c r="Y66" s="7"/>
      <c r="Z66" s="7"/>
      <c r="AA66" s="124"/>
      <c r="AB66" s="7" t="s">
        <v>160</v>
      </c>
      <c r="AC66" s="7" t="s">
        <v>160</v>
      </c>
      <c r="AD66" s="29"/>
      <c r="AE66" s="7" t="s">
        <v>160</v>
      </c>
      <c r="AF66" s="117"/>
      <c r="AG66" s="7" t="s">
        <v>160</v>
      </c>
      <c r="AH66" s="117"/>
      <c r="AI66" s="7" t="s">
        <v>160</v>
      </c>
      <c r="AJ66" s="117"/>
      <c r="AK66" s="7" t="s">
        <v>160</v>
      </c>
      <c r="AL66" s="117"/>
      <c r="AM66" s="7" t="s">
        <v>160</v>
      </c>
      <c r="AN66" s="7" t="s">
        <v>160</v>
      </c>
      <c r="AO66" s="7" t="s">
        <v>160</v>
      </c>
    </row>
    <row r="67" spans="1:42" ht="15.75">
      <c r="A67" s="26" t="s">
        <v>163</v>
      </c>
      <c r="B67" s="26"/>
      <c r="C67" s="7" t="s">
        <v>164</v>
      </c>
      <c r="D67" s="7" t="s">
        <v>164</v>
      </c>
      <c r="E67" s="7" t="s">
        <v>164</v>
      </c>
      <c r="F67" s="7" t="s">
        <v>164</v>
      </c>
      <c r="G67" s="7" t="s">
        <v>164</v>
      </c>
      <c r="H67" s="7" t="s">
        <v>164</v>
      </c>
      <c r="I67" s="7" t="s">
        <v>164</v>
      </c>
      <c r="J67" s="7" t="s">
        <v>164</v>
      </c>
      <c r="K67" s="7" t="s">
        <v>164</v>
      </c>
      <c r="L67" s="7" t="s">
        <v>164</v>
      </c>
      <c r="M67" s="7" t="s">
        <v>164</v>
      </c>
      <c r="N67" s="7" t="s">
        <v>164</v>
      </c>
      <c r="O67" s="7" t="s">
        <v>164</v>
      </c>
      <c r="P67" s="7" t="s">
        <v>164</v>
      </c>
      <c r="Q67" s="7" t="s">
        <v>164</v>
      </c>
      <c r="R67" s="7" t="s">
        <v>164</v>
      </c>
      <c r="S67" s="7" t="s">
        <v>164</v>
      </c>
      <c r="T67" s="7" t="s">
        <v>164</v>
      </c>
      <c r="U67" s="7" t="s">
        <v>164</v>
      </c>
      <c r="V67" s="124"/>
      <c r="W67" s="7" t="s">
        <v>164</v>
      </c>
      <c r="X67" s="7" t="s">
        <v>164</v>
      </c>
      <c r="Y67" s="7"/>
      <c r="Z67" s="7"/>
      <c r="AA67" s="124"/>
      <c r="AB67" s="7" t="s">
        <v>164</v>
      </c>
      <c r="AC67" s="7" t="s">
        <v>164</v>
      </c>
      <c r="AD67" s="7"/>
      <c r="AE67" s="7" t="s">
        <v>164</v>
      </c>
      <c r="AF67" s="117"/>
      <c r="AG67" s="7" t="s">
        <v>164</v>
      </c>
      <c r="AH67" s="117"/>
      <c r="AI67" s="7" t="s">
        <v>164</v>
      </c>
      <c r="AJ67" s="117"/>
      <c r="AK67" s="7" t="s">
        <v>164</v>
      </c>
      <c r="AL67" s="117"/>
      <c r="AM67" s="7" t="s">
        <v>164</v>
      </c>
      <c r="AN67" s="7" t="s">
        <v>164</v>
      </c>
      <c r="AO67" s="7" t="s">
        <v>164</v>
      </c>
    </row>
    <row r="68" spans="1:42" ht="15.75">
      <c r="A68" s="26" t="s">
        <v>165</v>
      </c>
      <c r="B68" s="26"/>
      <c r="C68" s="7">
        <f t="shared" ref="C68:AK68" si="2">256*8192</f>
        <v>2097152</v>
      </c>
      <c r="D68" s="7">
        <f t="shared" ref="D68:AO68" si="3">256*8192</f>
        <v>2097152</v>
      </c>
      <c r="E68" s="7">
        <f t="shared" si="3"/>
        <v>2097152</v>
      </c>
      <c r="F68" s="7">
        <f t="shared" si="3"/>
        <v>2097152</v>
      </c>
      <c r="G68" s="7">
        <f t="shared" si="3"/>
        <v>2097152</v>
      </c>
      <c r="H68" s="7">
        <f t="shared" si="3"/>
        <v>2097152</v>
      </c>
      <c r="I68" s="7">
        <f t="shared" si="3"/>
        <v>2097152</v>
      </c>
      <c r="J68" s="7">
        <f t="shared" si="3"/>
        <v>2097152</v>
      </c>
      <c r="K68" s="7">
        <f t="shared" si="3"/>
        <v>2097152</v>
      </c>
      <c r="L68" s="7">
        <f t="shared" si="3"/>
        <v>2097152</v>
      </c>
      <c r="M68" s="7">
        <f t="shared" si="3"/>
        <v>2097152</v>
      </c>
      <c r="N68" s="7">
        <f t="shared" si="3"/>
        <v>2097152</v>
      </c>
      <c r="O68" s="7">
        <f t="shared" si="3"/>
        <v>2097152</v>
      </c>
      <c r="P68" s="7">
        <f t="shared" si="3"/>
        <v>2097152</v>
      </c>
      <c r="Q68" s="7">
        <f t="shared" si="3"/>
        <v>2097152</v>
      </c>
      <c r="R68" s="7">
        <f t="shared" si="3"/>
        <v>2097152</v>
      </c>
      <c r="S68" s="7">
        <f t="shared" si="3"/>
        <v>2097152</v>
      </c>
      <c r="T68" s="7">
        <f t="shared" si="3"/>
        <v>2097152</v>
      </c>
      <c r="U68" s="7">
        <f t="shared" si="3"/>
        <v>2097152</v>
      </c>
      <c r="W68" s="7">
        <f t="shared" si="3"/>
        <v>2097152</v>
      </c>
      <c r="X68" s="7">
        <f t="shared" si="3"/>
        <v>2097152</v>
      </c>
      <c r="Y68" s="7"/>
      <c r="Z68" s="7"/>
      <c r="AA68" s="124"/>
      <c r="AB68" s="7">
        <f t="shared" si="3"/>
        <v>2097152</v>
      </c>
      <c r="AC68" s="7">
        <f t="shared" si="2"/>
        <v>2097152</v>
      </c>
      <c r="AD68" s="7"/>
      <c r="AE68" s="7">
        <f t="shared" si="2"/>
        <v>2097152</v>
      </c>
      <c r="AF68" s="29"/>
      <c r="AG68" s="7">
        <f t="shared" si="2"/>
        <v>2097152</v>
      </c>
      <c r="AH68" s="29"/>
      <c r="AI68" s="7">
        <f t="shared" si="2"/>
        <v>2097152</v>
      </c>
      <c r="AJ68" s="29"/>
      <c r="AK68" s="7">
        <f t="shared" si="2"/>
        <v>2097152</v>
      </c>
      <c r="AL68" s="29"/>
      <c r="AM68" s="7">
        <f t="shared" ref="AM68" si="4">256*8192</f>
        <v>2097152</v>
      </c>
      <c r="AN68" s="7">
        <f t="shared" si="3"/>
        <v>2097152</v>
      </c>
      <c r="AO68" s="7">
        <f t="shared" si="3"/>
        <v>2097152</v>
      </c>
    </row>
    <row r="69" spans="1:42" ht="15.75">
      <c r="A69" s="26"/>
      <c r="B69" s="2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W69" s="30"/>
      <c r="X69" s="30"/>
      <c r="Y69" s="7"/>
      <c r="Z69" s="7"/>
      <c r="AA69" s="124"/>
      <c r="AB69" s="30"/>
      <c r="AC69" s="30"/>
      <c r="AD69" s="7"/>
      <c r="AE69" s="30"/>
      <c r="AF69" s="7"/>
      <c r="AG69" s="30"/>
      <c r="AH69" s="7"/>
      <c r="AI69" s="30"/>
      <c r="AJ69" s="7"/>
      <c r="AK69" s="30"/>
      <c r="AL69" s="7"/>
      <c r="AM69" s="30"/>
      <c r="AN69" s="30"/>
      <c r="AO69" s="30"/>
    </row>
    <row r="70" spans="1:42" ht="15.75">
      <c r="A70" s="26" t="s">
        <v>166</v>
      </c>
      <c r="B70" s="26"/>
      <c r="C70" s="130">
        <v>279933</v>
      </c>
      <c r="D70" s="129">
        <v>380750.11604872154</v>
      </c>
      <c r="E70" s="129">
        <v>417810.7652567859</v>
      </c>
      <c r="F70" s="129">
        <v>324141.22869279125</v>
      </c>
      <c r="G70" s="129">
        <v>389260.67076522473</v>
      </c>
      <c r="H70" s="129">
        <v>354829.23509313457</v>
      </c>
      <c r="I70" s="129">
        <v>374599.77401714155</v>
      </c>
      <c r="J70" s="129">
        <v>365525.99088982586</v>
      </c>
      <c r="K70" s="129">
        <v>385846.40978129976</v>
      </c>
      <c r="L70" s="129">
        <v>355439.26471839065</v>
      </c>
      <c r="M70" s="129">
        <v>372310.65756548831</v>
      </c>
      <c r="N70" s="129">
        <v>361582.17817761586</v>
      </c>
      <c r="O70" s="129">
        <v>379273.87404354505</v>
      </c>
      <c r="P70" s="129">
        <v>386541</v>
      </c>
      <c r="Q70" s="129">
        <v>482938</v>
      </c>
      <c r="R70" s="129">
        <v>547828</v>
      </c>
      <c r="S70" s="129">
        <v>431651</v>
      </c>
      <c r="T70" s="129">
        <v>244088</v>
      </c>
      <c r="U70" s="130">
        <v>249844</v>
      </c>
      <c r="W70" s="130">
        <v>374292</v>
      </c>
      <c r="X70" s="129">
        <v>697796</v>
      </c>
      <c r="Y70" s="129"/>
      <c r="Z70" s="129"/>
      <c r="AA70" s="124"/>
      <c r="AB70" s="127">
        <v>166694</v>
      </c>
      <c r="AC70" s="130">
        <v>382741</v>
      </c>
      <c r="AD70" s="93"/>
      <c r="AE70" s="129">
        <v>383022</v>
      </c>
      <c r="AF70" s="7"/>
      <c r="AG70" s="130">
        <v>382245</v>
      </c>
      <c r="AH70" s="7"/>
      <c r="AI70" s="130">
        <v>382996</v>
      </c>
      <c r="AJ70" s="7"/>
      <c r="AK70" s="130">
        <v>392381</v>
      </c>
      <c r="AL70" s="7"/>
      <c r="AM70" s="130">
        <v>665809</v>
      </c>
      <c r="AN70" s="129">
        <v>423067</v>
      </c>
      <c r="AO70" s="130">
        <v>177993</v>
      </c>
    </row>
    <row r="71" spans="1:42" ht="15.75">
      <c r="A71" s="38" t="s">
        <v>83</v>
      </c>
      <c r="B71" s="26" t="s">
        <v>167</v>
      </c>
      <c r="C71" s="117" t="s">
        <v>433</v>
      </c>
      <c r="D71" s="117" t="s">
        <v>433</v>
      </c>
      <c r="E71" s="117" t="s">
        <v>433</v>
      </c>
      <c r="F71" s="117" t="s">
        <v>433</v>
      </c>
      <c r="G71" s="117" t="s">
        <v>433</v>
      </c>
      <c r="H71" s="117" t="s">
        <v>433</v>
      </c>
      <c r="I71" s="117" t="s">
        <v>433</v>
      </c>
      <c r="J71" s="117" t="s">
        <v>433</v>
      </c>
      <c r="K71" s="117" t="s">
        <v>433</v>
      </c>
      <c r="L71" s="117" t="s">
        <v>433</v>
      </c>
      <c r="M71" s="117" t="s">
        <v>433</v>
      </c>
      <c r="N71" s="117" t="s">
        <v>433</v>
      </c>
      <c r="O71" s="117" t="s">
        <v>433</v>
      </c>
      <c r="P71" s="117" t="s">
        <v>433</v>
      </c>
      <c r="Q71" s="117" t="s">
        <v>433</v>
      </c>
      <c r="R71" s="117" t="s">
        <v>433</v>
      </c>
      <c r="S71" s="117" t="s">
        <v>433</v>
      </c>
      <c r="T71" s="117" t="s">
        <v>433</v>
      </c>
      <c r="U71" s="117" t="s">
        <v>433</v>
      </c>
      <c r="W71" s="117" t="s">
        <v>433</v>
      </c>
      <c r="X71" s="117" t="s">
        <v>433</v>
      </c>
      <c r="Y71" s="141"/>
      <c r="Z71" s="141"/>
      <c r="AA71" s="124"/>
      <c r="AB71" s="117" t="s">
        <v>433</v>
      </c>
      <c r="AC71" s="117" t="s">
        <v>433</v>
      </c>
      <c r="AD71" s="93"/>
      <c r="AE71" s="117" t="s">
        <v>433</v>
      </c>
      <c r="AF71" s="7"/>
      <c r="AG71" s="117" t="s">
        <v>433</v>
      </c>
      <c r="AH71" s="7"/>
      <c r="AI71" s="117" t="s">
        <v>433</v>
      </c>
      <c r="AJ71" s="7"/>
      <c r="AK71" s="117" t="s">
        <v>433</v>
      </c>
      <c r="AL71" s="7"/>
      <c r="AM71" s="117" t="s">
        <v>433</v>
      </c>
      <c r="AN71" s="117" t="s">
        <v>433</v>
      </c>
      <c r="AO71" s="117" t="s">
        <v>433</v>
      </c>
    </row>
    <row r="72" spans="1:42" ht="15.75">
      <c r="A72" s="38" t="s">
        <v>168</v>
      </c>
      <c r="B72" s="26" t="s">
        <v>428</v>
      </c>
      <c r="C72" s="39" t="s">
        <v>169</v>
      </c>
      <c r="D72" s="39" t="s">
        <v>169</v>
      </c>
      <c r="E72" s="39" t="s">
        <v>169</v>
      </c>
      <c r="F72" s="39" t="s">
        <v>169</v>
      </c>
      <c r="G72" s="39" t="s">
        <v>169</v>
      </c>
      <c r="H72" s="39" t="s">
        <v>169</v>
      </c>
      <c r="I72" s="39" t="s">
        <v>169</v>
      </c>
      <c r="J72" s="39" t="s">
        <v>169</v>
      </c>
      <c r="K72" s="39" t="s">
        <v>169</v>
      </c>
      <c r="L72" s="39" t="s">
        <v>169</v>
      </c>
      <c r="M72" s="39" t="s">
        <v>169</v>
      </c>
      <c r="N72" s="39" t="s">
        <v>169</v>
      </c>
      <c r="O72" s="39" t="s">
        <v>169</v>
      </c>
      <c r="P72" s="39" t="s">
        <v>169</v>
      </c>
      <c r="Q72" s="39" t="s">
        <v>169</v>
      </c>
      <c r="R72" s="39" t="s">
        <v>169</v>
      </c>
      <c r="S72" s="39" t="s">
        <v>169</v>
      </c>
      <c r="T72" s="39" t="s">
        <v>169</v>
      </c>
      <c r="U72" s="39" t="s">
        <v>169</v>
      </c>
      <c r="W72" s="39" t="s">
        <v>169</v>
      </c>
      <c r="X72" s="140" t="s">
        <v>485</v>
      </c>
      <c r="Y72" s="142"/>
      <c r="Z72" s="142"/>
      <c r="AA72" s="124"/>
      <c r="AB72" s="39" t="s">
        <v>169</v>
      </c>
      <c r="AC72" s="39" t="s">
        <v>169</v>
      </c>
      <c r="AD72" s="45"/>
      <c r="AE72" s="39" t="s">
        <v>169</v>
      </c>
      <c r="AF72" s="93"/>
      <c r="AG72" s="39" t="s">
        <v>169</v>
      </c>
      <c r="AH72" s="93"/>
      <c r="AI72" s="39" t="s">
        <v>169</v>
      </c>
      <c r="AJ72" s="93"/>
      <c r="AK72" s="39" t="s">
        <v>169</v>
      </c>
      <c r="AL72" s="93"/>
      <c r="AM72" s="117" t="s">
        <v>433</v>
      </c>
      <c r="AN72" s="39" t="s">
        <v>169</v>
      </c>
      <c r="AO72" s="39" t="s">
        <v>169</v>
      </c>
    </row>
    <row r="73" spans="1:42" ht="15.75">
      <c r="A73" s="38" t="s">
        <v>170</v>
      </c>
      <c r="B73" s="26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W73" s="30"/>
      <c r="X73" s="30"/>
      <c r="Y73" s="7"/>
      <c r="Z73" s="7"/>
      <c r="AA73" s="124"/>
      <c r="AB73" s="30"/>
      <c r="AC73" s="30"/>
      <c r="AD73" s="7"/>
      <c r="AE73" s="30"/>
      <c r="AF73" s="93"/>
      <c r="AG73" s="30"/>
      <c r="AH73" s="93"/>
      <c r="AI73" s="30"/>
      <c r="AJ73" s="93"/>
      <c r="AK73" s="30"/>
      <c r="AL73" s="93"/>
      <c r="AM73" s="30"/>
      <c r="AN73" s="30"/>
      <c r="AO73" s="30"/>
    </row>
    <row r="74" spans="1:42" ht="15.75">
      <c r="A74" s="38" t="s">
        <v>438</v>
      </c>
      <c r="C74" s="1">
        <v>3442811</v>
      </c>
      <c r="D74" s="136">
        <v>3781477</v>
      </c>
      <c r="E74" s="136">
        <v>3474262</v>
      </c>
      <c r="F74" s="136">
        <v>1446432</v>
      </c>
      <c r="G74" s="136">
        <v>3759917</v>
      </c>
      <c r="H74" s="136">
        <f>3.992609*1000000</f>
        <v>3992609</v>
      </c>
      <c r="I74" s="136">
        <f>3.123592*1000000</f>
        <v>3123592</v>
      </c>
      <c r="J74" s="136">
        <v>1961700</v>
      </c>
      <c r="K74" s="127">
        <v>997658</v>
      </c>
      <c r="L74" s="136">
        <f>3.770021*1000000</f>
        <v>3770021</v>
      </c>
      <c r="M74" s="136">
        <f>3.778519*1000000</f>
        <v>3778519</v>
      </c>
      <c r="N74" s="133">
        <f>2.414524*1000000</f>
        <v>2414524</v>
      </c>
      <c r="O74" s="133">
        <v>1186207</v>
      </c>
      <c r="P74" s="128">
        <v>981185</v>
      </c>
      <c r="Q74" s="128">
        <v>535742</v>
      </c>
      <c r="R74" s="136">
        <v>394723</v>
      </c>
      <c r="S74" s="128">
        <v>587166</v>
      </c>
      <c r="T74" s="136">
        <v>2939823</v>
      </c>
      <c r="U74" s="136">
        <f>1.015166*1000000</f>
        <v>1015166</v>
      </c>
      <c r="W74" s="1">
        <v>1967023</v>
      </c>
      <c r="X74" s="136">
        <v>6099113</v>
      </c>
      <c r="Y74" s="127"/>
      <c r="Z74" s="127"/>
      <c r="AA74" s="124"/>
      <c r="AB74" s="136">
        <v>3581084</v>
      </c>
      <c r="AC74" s="1">
        <v>38235764</v>
      </c>
      <c r="AD74" s="131"/>
      <c r="AE74" s="1">
        <v>30380140</v>
      </c>
      <c r="AF74" s="45"/>
      <c r="AG74" s="1">
        <v>30543718</v>
      </c>
      <c r="AH74" s="45"/>
      <c r="AI74" s="1">
        <v>31089153</v>
      </c>
      <c r="AJ74" s="45"/>
      <c r="AK74" s="1">
        <v>37615727</v>
      </c>
      <c r="AL74" s="45"/>
      <c r="AM74" s="1">
        <f>33.360072*1000000</f>
        <v>33360072.000000004</v>
      </c>
      <c r="AN74" s="136">
        <v>3865696</v>
      </c>
      <c r="AO74" s="136">
        <v>3948695</v>
      </c>
    </row>
    <row r="75" spans="1:42">
      <c r="AD75" s="124"/>
      <c r="AF75" s="124"/>
      <c r="AH75" s="124"/>
      <c r="AJ75" s="124"/>
      <c r="AL75" s="124"/>
    </row>
    <row r="76" spans="1:42" ht="15.7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</row>
    <row r="77" spans="1:42" ht="15.7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</row>
    <row r="78" spans="1:42" ht="15.75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</row>
    <row r="79" spans="1:42" ht="15.7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</row>
    <row r="80" spans="1:42" ht="15.7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</row>
    <row r="81" spans="1:53" s="119" customFormat="1" ht="15.75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</row>
    <row r="82" spans="1:53" s="119" customFormat="1" ht="15.75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</row>
    <row r="83" spans="1:53" s="119" customFormat="1" ht="15.7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</row>
    <row r="84" spans="1:53" s="119" customFormat="1" ht="15.75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</row>
    <row r="85" spans="1:53" ht="15.75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</row>
    <row r="86" spans="1:53" ht="15.75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</row>
    <row r="87" spans="1:53" ht="15.75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</row>
    <row r="88" spans="1:53" ht="15.7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</row>
    <row r="89" spans="1:53" ht="15.75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</row>
    <row r="90" spans="1:53" s="119" customFormat="1" ht="15.75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</row>
    <row r="91" spans="1:53" ht="15.75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</row>
    <row r="92" spans="1:53" ht="15.75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</row>
    <row r="93" spans="1:53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</row>
    <row r="94" spans="1:53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53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</row>
    <row r="96" spans="1:53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</row>
    <row r="97" spans="1:4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</row>
    <row r="98" spans="1:42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</row>
    <row r="99" spans="1:42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</row>
    <row r="100" spans="1:42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</row>
    <row r="101" spans="1:42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</row>
    <row r="102" spans="1:42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</row>
    <row r="103" spans="1:42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</row>
    <row r="104" spans="1:42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</row>
    <row r="105" spans="1:42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</row>
    <row r="106" spans="1:42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</row>
    <row r="107" spans="1:42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</row>
    <row r="108" spans="1:42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</row>
    <row r="109" spans="1:42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</row>
    <row r="110" spans="1:42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</row>
    <row r="111" spans="1:42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</row>
    <row r="112" spans="1:42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</row>
    <row r="113" spans="1:42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</row>
    <row r="114" spans="1:42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</row>
    <row r="115" spans="1:42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</row>
    <row r="116" spans="1:42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</row>
    <row r="117" spans="1:42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</row>
    <row r="118" spans="1:42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</row>
    <row r="119" spans="1:42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</row>
    <row r="120" spans="1:42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</row>
    <row r="121" spans="1:42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</row>
    <row r="122" spans="1:42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</row>
    <row r="123" spans="1:42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</row>
    <row r="124" spans="1:42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</row>
    <row r="125" spans="1:42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</row>
    <row r="126" spans="1:42" ht="15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</row>
    <row r="128" spans="1:42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</row>
    <row r="129" spans="30:30">
      <c r="AD129" s="124"/>
    </row>
    <row r="286" spans="23:27">
      <c r="W286">
        <v>0</v>
      </c>
      <c r="AA286">
        <v>0</v>
      </c>
    </row>
    <row r="287" spans="23:27">
      <c r="W287">
        <v>202</v>
      </c>
      <c r="AA287">
        <v>38</v>
      </c>
    </row>
    <row r="288" spans="23:27">
      <c r="W288">
        <v>0</v>
      </c>
      <c r="AA288">
        <v>0</v>
      </c>
    </row>
    <row r="289" spans="23:27">
      <c r="W289">
        <v>202</v>
      </c>
      <c r="AA289">
        <v>38</v>
      </c>
    </row>
    <row r="290" spans="23:27">
      <c r="W290">
        <v>0</v>
      </c>
      <c r="AA290">
        <v>0</v>
      </c>
    </row>
  </sheetData>
  <phoneticPr fontId="38"/>
  <conditionalFormatting sqref="AN43">
    <cfRule type="cellIs" dxfId="17" priority="18" stopIfTrue="1" operator="notEqual">
      <formula>#REF!</formula>
    </cfRule>
  </conditionalFormatting>
  <conditionalFormatting sqref="F73 X46:Z55 AB67:AB68 D68:E68 F52:F53 D57:F67 F67:G68 D7:S7 G13:U14 G28:U29 F46:U51 F13:F37 D12:E37 AB21:AB27 D27:F27 G24:S27 G30:S33 U30:U33 H52:J53 L52:N53 S52:U53 H15:J16 L15:N16 P15:Q16 S15:U16 F9:S10 L60:N67 P60:S64 J60:J67 H60:I68 J67:K68 L68:M68 N67:O68 P68:Q68 P65:R67 S60:T67 R67:S68 U65:U68 J73 H72:I73 N73 L72:M73 R73 P72:Q73 D72:R72 D49:U49 G21:G22 H20:J22 J21:K22 L20:N22 N21:O22 P20:Q22 S20:T22 U18:U22 G17:Q19 S17:S19 U12 F12:S12 G55 I57 K57 M57 O57 Q57 G58:G59 F54:O54 R52:R54 S54:S55 P52:Q55 AB6:AB7 R15:R22 P45:S45 U45 U26 AB72 AC57:AL57 C60:C63 C49:C53 AC49:AM49 AC46:AM47 AD34:AD39 AD45 AD48 AD54:AD60 AD68:AD71 AD74 AF34:AF42 AH34:AH42 AJ34:AJ42 AL34:AL42 AF47:AF48 AF54:AF58 AH47:AH48 AH54:AH58 AJ47:AJ48 AJ54:AJ58 AL47:AL48 AL54:AL58 AF74 AF68:AF71 AH74 AH68:AH71 AJ74 AJ68:AJ71 AL74 AL68:AL71 AM20:AM22 AM73 AC6:AM8 T19:T22 T24:T37 T12:T17 T40:T47 AB48:AB49 D46:E55 T60:T68 S57:T57 T49:T55 S72:T73 C12 AC13:AC16 AC19:AC22 AC46:AC51 AE19:AE22 AG19:AG22 AI19:AI22 AK19:AK22 AE48:AE50 AG48:AG50 AI48:AI50 AK48:AK50 D23:O23 X57:Z68 AC20:AL29 AC50:AL51 AC14:AL18 AC9:AL10 AB42 C65:C68 C6:E10 AC26:AM26 AC72:AL73 C72:E73 AC52:AM53 C14:C37 AC30:AM37 C40:C47 AB46 AM28:AM29 E50:U50 G34:U37 AO40:AO44 T73:U73 F6:U8 D46:U46 AO46:AO54 U72 D40:U44 AO6:AO10 C42:U42 AC19:AM19 C13:U13 AB13:AM13 AM13:AM16 AC40:AM44 AM49:AM51 W72:Z73 AN72:AO73 AN45:AN55 W60:Z68 AC60:AO68 AN40:AN43 W57:Z57 AN57:AO57 W6:Z10 AN6:AN9 W12:Z37 W40:Z54 AN13:AO37">
    <cfRule type="cellIs" dxfId="16" priority="3734" stopIfTrue="1" operator="notEqual">
      <formula>$AB6</formula>
    </cfRule>
  </conditionalFormatting>
  <conditionalFormatting sqref="AK16 AC16 AE16 AG16 AI16 W16:Z16 AM16:AN16">
    <cfRule type="cellIs" dxfId="15" priority="3920" stopIfTrue="1" operator="notEqual">
      <formula>$AB27</formula>
    </cfRule>
  </conditionalFormatting>
  <conditionalFormatting sqref="AN44">
    <cfRule type="cellIs" dxfId="14" priority="3927" stopIfTrue="1" operator="notEqual">
      <formula>$AB47</formula>
    </cfRule>
  </conditionalFormatting>
  <conditionalFormatting sqref="AN43">
    <cfRule type="cellIs" dxfId="13" priority="3928" stopIfTrue="1" operator="notEqual">
      <formula>$AB57</formula>
    </cfRule>
  </conditionalFormatting>
  <pageMargins left="0.70866141732283472" right="0.70866141732283472" top="0.74803149606299213" bottom="0.74803149606299213" header="0.31496062992125984" footer="0.31496062992125984"/>
  <pageSetup paperSize="8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38"/>
  <sheetViews>
    <sheetView zoomScale="70" zoomScaleNormal="70" workbookViewId="0">
      <pane xSplit="2" ySplit="8" topLeftCell="W9" activePane="bottomRight" state="frozenSplit"/>
      <selection pane="topRight" activeCell="BJ1" sqref="AR1:BJ65536"/>
      <selection pane="bottomLeft" activeCell="AG302" sqref="AG302"/>
      <selection pane="bottomRight"/>
    </sheetView>
  </sheetViews>
  <sheetFormatPr defaultColWidth="9.140625" defaultRowHeight="12.75"/>
  <cols>
    <col min="1" max="1" width="31.42578125" style="51" customWidth="1"/>
    <col min="2" max="2" width="26.7109375" style="51" customWidth="1"/>
    <col min="3" max="16" width="24" style="51" customWidth="1"/>
    <col min="17" max="17" width="26.42578125" style="29" bestFit="1" customWidth="1"/>
    <col min="18" max="18" width="18.5703125" style="29" customWidth="1"/>
    <col min="19" max="19" width="24" style="51" customWidth="1"/>
    <col min="20" max="21" width="18.5703125" style="29" customWidth="1"/>
    <col min="22" max="22" width="23.5703125" style="29" customWidth="1"/>
    <col min="23" max="23" width="18.5703125" style="29" customWidth="1"/>
    <col min="24" max="24" width="20.28515625" style="29" customWidth="1"/>
    <col min="25" max="26" width="18.5703125" style="29" customWidth="1"/>
    <col min="27" max="27" width="21.42578125" style="29" customWidth="1"/>
    <col min="28" max="30" width="18.5703125" style="29" customWidth="1"/>
    <col min="31" max="31" width="18.42578125" style="52" customWidth="1"/>
    <col min="32" max="32" width="24" style="51" customWidth="1"/>
    <col min="33" max="33" width="19" style="52" customWidth="1"/>
    <col min="34" max="34" width="23.5703125" style="29" customWidth="1"/>
    <col min="35" max="35" width="19.7109375" style="52" customWidth="1"/>
    <col min="36" max="37" width="18.5703125" style="29" customWidth="1"/>
    <col min="38" max="42" width="18.5703125" style="52" customWidth="1"/>
    <col min="43" max="16384" width="9.140625" style="52"/>
  </cols>
  <sheetData>
    <row r="1" spans="1:42">
      <c r="A1" s="53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W1" s="53"/>
      <c r="AE1" s="29"/>
      <c r="AF1" s="29"/>
      <c r="AG1" s="29"/>
      <c r="AH1" s="52"/>
      <c r="AJ1" s="52"/>
      <c r="AK1" s="53"/>
      <c r="AL1" s="29"/>
      <c r="AO1" s="29"/>
      <c r="AP1" s="29"/>
    </row>
    <row r="2" spans="1:42">
      <c r="A2" s="54" t="s">
        <v>1</v>
      </c>
      <c r="B2" s="51" t="s">
        <v>498</v>
      </c>
      <c r="Q2" s="51"/>
      <c r="R2" s="51"/>
      <c r="W2" s="51"/>
      <c r="AE2" s="29"/>
      <c r="AF2" s="29"/>
      <c r="AG2" s="29"/>
      <c r="AH2" s="52"/>
      <c r="AJ2" s="52"/>
      <c r="AK2" s="51"/>
      <c r="AL2" s="29"/>
      <c r="AO2" s="29"/>
      <c r="AP2" s="29"/>
    </row>
    <row r="3" spans="1:42">
      <c r="Q3" s="51"/>
      <c r="R3" s="51"/>
      <c r="T3" s="55"/>
      <c r="U3" s="55"/>
      <c r="V3" s="55"/>
      <c r="W3" s="51"/>
      <c r="X3" s="55"/>
      <c r="Y3" s="55"/>
      <c r="Z3" s="55"/>
      <c r="AA3" s="55"/>
      <c r="AB3" s="55"/>
      <c r="AC3" s="55"/>
      <c r="AE3" s="29"/>
      <c r="AF3" s="55"/>
      <c r="AG3" s="55"/>
      <c r="AH3" s="52"/>
      <c r="AJ3" s="52"/>
      <c r="AK3" s="51"/>
      <c r="AL3" s="55"/>
      <c r="AO3" s="55"/>
      <c r="AP3" s="55"/>
    </row>
    <row r="4" spans="1:42" ht="18">
      <c r="A4" s="56" t="s">
        <v>2</v>
      </c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8"/>
      <c r="U4" s="58"/>
      <c r="V4" s="58"/>
      <c r="W4" s="56"/>
      <c r="X4" s="57"/>
      <c r="Y4" s="57"/>
      <c r="Z4" s="57"/>
      <c r="AA4" s="58"/>
      <c r="AB4" s="57"/>
      <c r="AC4" s="57"/>
      <c r="AD4" s="57"/>
      <c r="AE4" s="57"/>
      <c r="AF4" s="58"/>
      <c r="AG4" s="58"/>
      <c r="AH4" s="52"/>
      <c r="AJ4" s="52"/>
      <c r="AK4" s="56"/>
      <c r="AL4" s="58"/>
      <c r="AO4" s="58"/>
      <c r="AP4" s="58"/>
    </row>
    <row r="5" spans="1:42" ht="18">
      <c r="A5" s="56"/>
      <c r="B5" s="110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9"/>
      <c r="U5" s="59"/>
      <c r="V5" s="59"/>
      <c r="W5" s="56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2"/>
      <c r="AJ5" s="52"/>
      <c r="AK5" s="56"/>
      <c r="AL5" s="59"/>
      <c r="AO5" s="59"/>
      <c r="AP5" s="59"/>
    </row>
    <row r="6" spans="1:42" s="63" customFormat="1" ht="12.75" customHeight="1">
      <c r="A6" s="60"/>
      <c r="B6" s="61" t="s">
        <v>4</v>
      </c>
      <c r="C6" s="95">
        <v>400</v>
      </c>
      <c r="D6" s="95">
        <v>401</v>
      </c>
      <c r="E6" s="95">
        <v>402</v>
      </c>
      <c r="F6" s="95">
        <v>403</v>
      </c>
      <c r="G6" s="95">
        <v>404</v>
      </c>
      <c r="H6" s="62"/>
      <c r="I6" s="62">
        <v>406</v>
      </c>
      <c r="J6" s="62">
        <v>407</v>
      </c>
      <c r="K6" s="62"/>
      <c r="L6" s="62">
        <v>409</v>
      </c>
      <c r="M6" s="62">
        <v>410</v>
      </c>
      <c r="N6" s="62">
        <v>411</v>
      </c>
      <c r="O6" s="62">
        <v>412</v>
      </c>
      <c r="P6" s="62">
        <v>413</v>
      </c>
      <c r="Q6" s="62">
        <v>414</v>
      </c>
      <c r="R6" s="62">
        <v>415</v>
      </c>
      <c r="S6" s="62">
        <v>416</v>
      </c>
      <c r="T6" s="62">
        <v>417</v>
      </c>
      <c r="U6" s="62">
        <v>418</v>
      </c>
      <c r="V6" s="62">
        <v>419</v>
      </c>
      <c r="W6" s="61"/>
      <c r="X6" s="62">
        <v>450</v>
      </c>
      <c r="Y6" s="62">
        <v>451</v>
      </c>
      <c r="Z6" s="62">
        <v>452</v>
      </c>
      <c r="AA6" s="62">
        <v>453</v>
      </c>
      <c r="AB6" s="62">
        <v>454</v>
      </c>
      <c r="AC6" s="62">
        <v>455</v>
      </c>
      <c r="AD6" s="62">
        <v>456</v>
      </c>
      <c r="AE6" s="62">
        <v>457</v>
      </c>
      <c r="AF6" s="62">
        <v>458</v>
      </c>
      <c r="AG6" s="62">
        <v>459</v>
      </c>
      <c r="AH6" s="62">
        <v>460</v>
      </c>
      <c r="AI6" s="62">
        <v>461</v>
      </c>
      <c r="AJ6" s="62">
        <v>462</v>
      </c>
      <c r="AK6" s="62">
        <v>463</v>
      </c>
      <c r="AL6" s="62">
        <v>464</v>
      </c>
      <c r="AM6" s="62">
        <v>465</v>
      </c>
      <c r="AN6" s="62">
        <v>466</v>
      </c>
      <c r="AO6" s="62">
        <v>467</v>
      </c>
      <c r="AP6" s="62">
        <v>468</v>
      </c>
    </row>
    <row r="7" spans="1:42" ht="12.75" customHeight="1">
      <c r="A7" s="56"/>
      <c r="B7" s="64" t="s">
        <v>5</v>
      </c>
      <c r="C7" s="18" t="s">
        <v>334</v>
      </c>
      <c r="D7" s="18" t="s">
        <v>335</v>
      </c>
      <c r="E7" s="18" t="s">
        <v>336</v>
      </c>
      <c r="F7" s="18" t="s">
        <v>337</v>
      </c>
      <c r="G7" s="18" t="s">
        <v>338</v>
      </c>
      <c r="H7" s="58"/>
      <c r="I7" s="58" t="s">
        <v>358</v>
      </c>
      <c r="J7" s="58" t="s">
        <v>359</v>
      </c>
      <c r="K7" s="58"/>
      <c r="L7" s="58" t="s">
        <v>360</v>
      </c>
      <c r="M7" s="58" t="s">
        <v>361</v>
      </c>
      <c r="N7" s="58" t="s">
        <v>362</v>
      </c>
      <c r="O7" s="58" t="s">
        <v>363</v>
      </c>
      <c r="P7" s="94" t="s">
        <v>375</v>
      </c>
      <c r="Q7" s="58" t="s">
        <v>364</v>
      </c>
      <c r="R7" s="94" t="s">
        <v>365</v>
      </c>
      <c r="S7" s="94" t="s">
        <v>366</v>
      </c>
      <c r="T7" s="58" t="s">
        <v>385</v>
      </c>
      <c r="U7" s="58" t="s">
        <v>386</v>
      </c>
      <c r="V7" s="58" t="s">
        <v>394</v>
      </c>
      <c r="W7" s="64"/>
      <c r="X7" s="58" t="s">
        <v>214</v>
      </c>
      <c r="Y7" s="58" t="s">
        <v>215</v>
      </c>
      <c r="Z7" s="58" t="s">
        <v>101</v>
      </c>
      <c r="AA7" s="58" t="s">
        <v>216</v>
      </c>
      <c r="AB7" s="58" t="s">
        <v>217</v>
      </c>
      <c r="AC7" s="58" t="s">
        <v>218</v>
      </c>
      <c r="AD7" s="58" t="s">
        <v>219</v>
      </c>
      <c r="AE7" s="58" t="s">
        <v>220</v>
      </c>
      <c r="AF7" s="58" t="s">
        <v>221</v>
      </c>
      <c r="AG7" s="58" t="s">
        <v>222</v>
      </c>
      <c r="AH7" s="58" t="s">
        <v>223</v>
      </c>
      <c r="AI7" s="58" t="s">
        <v>224</v>
      </c>
      <c r="AJ7" s="58" t="s">
        <v>225</v>
      </c>
      <c r="AK7" s="94" t="s">
        <v>378</v>
      </c>
      <c r="AL7" s="58" t="s">
        <v>326</v>
      </c>
      <c r="AM7" s="94" t="s">
        <v>327</v>
      </c>
      <c r="AN7" s="94" t="s">
        <v>328</v>
      </c>
      <c r="AO7" s="58" t="s">
        <v>379</v>
      </c>
      <c r="AP7" s="58" t="s">
        <v>162</v>
      </c>
    </row>
    <row r="8" spans="1:42" s="65" customFormat="1" ht="18">
      <c r="A8" s="56"/>
      <c r="B8" s="64" t="s">
        <v>29</v>
      </c>
      <c r="C8" s="11" t="str">
        <f>"VV"&amp;TEXT(C6,"000")&amp;"-"&amp;C7</f>
        <v>VV400-RV-MPLP1</v>
      </c>
      <c r="D8" s="11" t="str">
        <f>"VV"&amp;TEXT(D6,"000")&amp;"-"&amp;D7</f>
        <v>VV401-RV-RATE56</v>
      </c>
      <c r="E8" s="11" t="str">
        <f>"VV"&amp;TEXT(E6,"000")&amp;"-"&amp;E7</f>
        <v>VV402-RV-QPSK</v>
      </c>
      <c r="F8" s="11" t="str">
        <f>"VV"&amp;TEXT(F6,"000")&amp;"-"&amp;F7</f>
        <v>VV403-RV-2GRPS</v>
      </c>
      <c r="G8" s="11" t="str">
        <f>"VV"&amp;TEXT(G6,"000")&amp;"-"&amp;G7</f>
        <v>VV404-RV-PI2</v>
      </c>
      <c r="H8" s="11"/>
      <c r="I8" s="11" t="str">
        <f t="shared" ref="I8:T8" si="0">"VV"&amp;TEXT(I6,"000")&amp;"-"&amp;I7</f>
        <v>VV406-RV-RES</v>
      </c>
      <c r="J8" s="11" t="str">
        <f t="shared" si="0"/>
        <v>VV407-RV-EXT</v>
      </c>
      <c r="K8" s="11"/>
      <c r="L8" s="11" t="str">
        <f t="shared" si="0"/>
        <v>VV409-RV-BIASCELLS</v>
      </c>
      <c r="M8" s="11" t="str">
        <f t="shared" si="0"/>
        <v>VV410-RV-L1-ACE</v>
      </c>
      <c r="N8" s="11" t="str">
        <f t="shared" si="0"/>
        <v>VV411-RV-L1-ACE2</v>
      </c>
      <c r="O8" s="11" t="str">
        <f t="shared" si="0"/>
        <v>VV412-RV-L1REP</v>
      </c>
      <c r="P8" s="11" t="str">
        <f>"VV"&amp;TEXT(P6,"000")&amp;"-"&amp;P7</f>
        <v>VV413-RV-MBSTATIC</v>
      </c>
      <c r="Q8" s="11" t="str">
        <f t="shared" si="0"/>
        <v>VV414-RV-SIMP-2GRPS</v>
      </c>
      <c r="R8" s="11" t="str">
        <f t="shared" si="0"/>
        <v>VV415-RV-NO-FEF</v>
      </c>
      <c r="S8" s="11" t="str">
        <f t="shared" si="0"/>
        <v>VV416-RV-IJUMP1</v>
      </c>
      <c r="T8" s="11" t="str">
        <f t="shared" si="0"/>
        <v>VV417-RV-MPLP-MISO</v>
      </c>
      <c r="U8" s="11" t="str">
        <f t="shared" ref="U8:AP8" si="1">"VV"&amp;TEXT(U6,"000")&amp;"-"&amp;U7</f>
        <v>VV418-RV-NM</v>
      </c>
      <c r="V8" s="11" t="str">
        <f t="shared" si="1"/>
        <v>VV419-RV-MBSTATIC-MISO</v>
      </c>
      <c r="W8" s="64"/>
      <c r="X8" s="11" t="str">
        <f t="shared" si="1"/>
        <v>VV450-MPLP1</v>
      </c>
      <c r="Y8" s="11" t="str">
        <f t="shared" si="1"/>
        <v>VV451-RATE56</v>
      </c>
      <c r="Z8" s="11" t="str">
        <f t="shared" si="1"/>
        <v>VV452-QPSK</v>
      </c>
      <c r="AA8" s="11" t="str">
        <f t="shared" si="1"/>
        <v>VV453-2GRPS</v>
      </c>
      <c r="AB8" s="11" t="str">
        <f t="shared" si="1"/>
        <v>VV454-PI2</v>
      </c>
      <c r="AC8" s="11" t="str">
        <f t="shared" si="1"/>
        <v>VV455-5MHZ</v>
      </c>
      <c r="AD8" s="11" t="str">
        <f t="shared" si="1"/>
        <v>VV456-RES</v>
      </c>
      <c r="AE8" s="11" t="str">
        <f t="shared" si="1"/>
        <v>VV457-EXT</v>
      </c>
      <c r="AF8" s="11" t="str">
        <f t="shared" si="1"/>
        <v>VV458-ALG-TST</v>
      </c>
      <c r="AG8" s="11" t="str">
        <f t="shared" si="1"/>
        <v>VV459-BIASCELLS</v>
      </c>
      <c r="AH8" s="11" t="str">
        <f t="shared" si="1"/>
        <v>VV460-L1-ACE</v>
      </c>
      <c r="AI8" s="11" t="str">
        <f t="shared" si="1"/>
        <v>VV461-L1-ACE2</v>
      </c>
      <c r="AJ8" s="11" t="str">
        <f t="shared" si="1"/>
        <v>VV462-L1REP</v>
      </c>
      <c r="AK8" s="11" t="str">
        <f>"VV"&amp;TEXT(AK6,"000")&amp;"-"&amp;AK7</f>
        <v>VV463-MBSTATIC</v>
      </c>
      <c r="AL8" s="11" t="str">
        <f t="shared" si="1"/>
        <v>VV464-SIMP-2GRPS</v>
      </c>
      <c r="AM8" s="11" t="str">
        <f t="shared" si="1"/>
        <v>VV465-NO-FEF</v>
      </c>
      <c r="AN8" s="11" t="str">
        <f t="shared" si="1"/>
        <v>VV466-IJUMP1</v>
      </c>
      <c r="AO8" s="11" t="str">
        <f t="shared" si="1"/>
        <v>VV467-MPLP-MISO</v>
      </c>
      <c r="AP8" s="11" t="str">
        <f t="shared" si="1"/>
        <v>VV468-NM</v>
      </c>
    </row>
    <row r="9" spans="1:42" ht="57">
      <c r="A9" s="56"/>
      <c r="B9" s="66" t="s">
        <v>226</v>
      </c>
      <c r="C9" s="20" t="s">
        <v>227</v>
      </c>
      <c r="D9" s="20" t="s">
        <v>228</v>
      </c>
      <c r="E9" s="20" t="s">
        <v>229</v>
      </c>
      <c r="F9" s="20" t="s">
        <v>230</v>
      </c>
      <c r="G9" s="20" t="s">
        <v>231</v>
      </c>
      <c r="H9" s="67"/>
      <c r="I9" s="67" t="s">
        <v>233</v>
      </c>
      <c r="J9" s="67" t="s">
        <v>234</v>
      </c>
      <c r="K9" s="67"/>
      <c r="L9" s="67" t="s">
        <v>236</v>
      </c>
      <c r="M9" s="67" t="s">
        <v>237</v>
      </c>
      <c r="N9" s="67" t="s">
        <v>238</v>
      </c>
      <c r="O9" s="67" t="s">
        <v>239</v>
      </c>
      <c r="P9" s="66" t="s">
        <v>388</v>
      </c>
      <c r="Q9" s="67" t="s">
        <v>329</v>
      </c>
      <c r="R9" s="67" t="s">
        <v>330</v>
      </c>
      <c r="S9" s="67" t="s">
        <v>331</v>
      </c>
      <c r="T9" s="67" t="s">
        <v>383</v>
      </c>
      <c r="U9" s="67" t="s">
        <v>384</v>
      </c>
      <c r="V9" s="67" t="s">
        <v>395</v>
      </c>
      <c r="W9" s="66"/>
      <c r="X9" s="67" t="s">
        <v>227</v>
      </c>
      <c r="Y9" s="67" t="s">
        <v>228</v>
      </c>
      <c r="Z9" s="67" t="s">
        <v>229</v>
      </c>
      <c r="AA9" s="67" t="s">
        <v>230</v>
      </c>
      <c r="AB9" s="67" t="s">
        <v>500</v>
      </c>
      <c r="AC9" s="67" t="s">
        <v>232</v>
      </c>
      <c r="AD9" s="67" t="s">
        <v>352</v>
      </c>
      <c r="AE9" s="67" t="s">
        <v>353</v>
      </c>
      <c r="AF9" s="67" t="s">
        <v>235</v>
      </c>
      <c r="AG9" s="67" t="s">
        <v>354</v>
      </c>
      <c r="AH9" s="67" t="s">
        <v>355</v>
      </c>
      <c r="AI9" s="67" t="s">
        <v>356</v>
      </c>
      <c r="AJ9" s="67" t="s">
        <v>357</v>
      </c>
      <c r="AK9" s="66" t="s">
        <v>367</v>
      </c>
      <c r="AL9" s="67" t="s">
        <v>329</v>
      </c>
      <c r="AM9" s="67" t="s">
        <v>330</v>
      </c>
      <c r="AN9" s="67" t="s">
        <v>331</v>
      </c>
      <c r="AO9" s="67" t="s">
        <v>383</v>
      </c>
      <c r="AP9" s="67" t="s">
        <v>384</v>
      </c>
    </row>
    <row r="10" spans="1:42" ht="15.75">
      <c r="A10" s="68" t="s">
        <v>240</v>
      </c>
      <c r="B10" s="69"/>
      <c r="C10" s="96"/>
      <c r="D10" s="96"/>
      <c r="E10" s="96"/>
      <c r="F10" s="96"/>
      <c r="G10" s="96"/>
      <c r="H10" s="96"/>
      <c r="I10" s="96"/>
      <c r="J10" s="96"/>
      <c r="K10" s="70"/>
      <c r="L10" s="96"/>
      <c r="M10" s="96"/>
      <c r="N10" s="96"/>
      <c r="O10" s="96"/>
      <c r="P10" s="70"/>
      <c r="Q10" s="96"/>
      <c r="R10" s="96"/>
      <c r="S10" s="96"/>
      <c r="T10" s="70"/>
      <c r="U10" s="70"/>
      <c r="V10" s="70"/>
      <c r="W10" s="69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</row>
    <row r="11" spans="1:42" s="63" customFormat="1" ht="26.25">
      <c r="A11" s="71" t="s">
        <v>241</v>
      </c>
      <c r="B11" s="66"/>
      <c r="C11" s="97" t="s">
        <v>242</v>
      </c>
      <c r="D11" s="97" t="s">
        <v>242</v>
      </c>
      <c r="E11" s="97" t="s">
        <v>242</v>
      </c>
      <c r="F11" s="97" t="s">
        <v>242</v>
      </c>
      <c r="G11" s="97" t="s">
        <v>242</v>
      </c>
      <c r="H11" s="72"/>
      <c r="I11" s="72" t="s">
        <v>242</v>
      </c>
      <c r="J11" s="72" t="s">
        <v>242</v>
      </c>
      <c r="K11" s="72"/>
      <c r="L11" s="97" t="s">
        <v>242</v>
      </c>
      <c r="M11" s="72" t="s">
        <v>242</v>
      </c>
      <c r="N11" s="72" t="s">
        <v>242</v>
      </c>
      <c r="O11" s="97" t="s">
        <v>242</v>
      </c>
      <c r="P11" s="63" t="s">
        <v>368</v>
      </c>
      <c r="Q11" s="72" t="s">
        <v>242</v>
      </c>
      <c r="R11" s="72" t="s">
        <v>242</v>
      </c>
      <c r="S11" s="72" t="s">
        <v>242</v>
      </c>
      <c r="T11" s="72" t="s">
        <v>242</v>
      </c>
      <c r="U11" s="72" t="s">
        <v>242</v>
      </c>
      <c r="V11" s="72" t="s">
        <v>396</v>
      </c>
      <c r="W11" s="66"/>
      <c r="X11" s="72" t="s">
        <v>242</v>
      </c>
      <c r="Y11" s="72" t="s">
        <v>242</v>
      </c>
      <c r="Z11" s="72" t="s">
        <v>242</v>
      </c>
      <c r="AA11" s="72" t="s">
        <v>242</v>
      </c>
      <c r="AB11" s="72" t="s">
        <v>242</v>
      </c>
      <c r="AC11" s="72" t="s">
        <v>242</v>
      </c>
      <c r="AD11" s="72" t="s">
        <v>242</v>
      </c>
      <c r="AE11" s="72" t="s">
        <v>242</v>
      </c>
      <c r="AF11" s="72" t="s">
        <v>242</v>
      </c>
      <c r="AG11" s="72" t="s">
        <v>242</v>
      </c>
      <c r="AH11" s="72" t="s">
        <v>242</v>
      </c>
      <c r="AI11" s="72" t="s">
        <v>242</v>
      </c>
      <c r="AJ11" s="72" t="s">
        <v>242</v>
      </c>
      <c r="AK11" s="63" t="s">
        <v>368</v>
      </c>
      <c r="AL11" s="72" t="s">
        <v>242</v>
      </c>
      <c r="AM11" s="72" t="s">
        <v>242</v>
      </c>
      <c r="AN11" s="72" t="s">
        <v>242</v>
      </c>
      <c r="AO11" s="72" t="s">
        <v>242</v>
      </c>
      <c r="AP11" s="72" t="s">
        <v>242</v>
      </c>
    </row>
    <row r="12" spans="1:42" ht="15.75">
      <c r="A12" s="71" t="s">
        <v>243</v>
      </c>
      <c r="B12" s="66" t="s">
        <v>244</v>
      </c>
      <c r="C12" s="98">
        <v>36</v>
      </c>
      <c r="D12" s="98">
        <v>47.4</v>
      </c>
      <c r="E12" s="98">
        <v>6</v>
      </c>
      <c r="F12" s="99" t="s">
        <v>332</v>
      </c>
      <c r="G12" s="98">
        <v>36.700000000000003</v>
      </c>
      <c r="H12" s="98"/>
      <c r="I12" s="73" t="s">
        <v>332</v>
      </c>
      <c r="J12" s="73" t="s">
        <v>332</v>
      </c>
      <c r="K12" s="73"/>
      <c r="L12" s="99" t="s">
        <v>332</v>
      </c>
      <c r="M12" s="73" t="s">
        <v>387</v>
      </c>
      <c r="N12" s="73" t="s">
        <v>376</v>
      </c>
      <c r="O12" s="98">
        <v>36</v>
      </c>
      <c r="P12" s="52"/>
      <c r="Q12" s="73" t="s">
        <v>332</v>
      </c>
      <c r="R12" s="73" t="s">
        <v>332</v>
      </c>
      <c r="S12" s="73" t="s">
        <v>332</v>
      </c>
      <c r="T12" s="115">
        <v>29.55</v>
      </c>
      <c r="U12" s="115">
        <v>29.55</v>
      </c>
      <c r="V12" s="115"/>
      <c r="W12" s="66"/>
      <c r="X12" s="73">
        <v>36</v>
      </c>
      <c r="Y12" s="73">
        <v>47.4</v>
      </c>
      <c r="Z12" s="73">
        <v>6</v>
      </c>
      <c r="AA12" s="73" t="s">
        <v>245</v>
      </c>
      <c r="AB12" s="73">
        <v>36.700000000000003</v>
      </c>
      <c r="AC12" s="73">
        <v>3.8</v>
      </c>
      <c r="AD12" s="73" t="s">
        <v>245</v>
      </c>
      <c r="AE12" s="73" t="s">
        <v>245</v>
      </c>
      <c r="AF12" s="73">
        <v>40</v>
      </c>
      <c r="AG12" s="73" t="s">
        <v>245</v>
      </c>
      <c r="AH12" s="73" t="s">
        <v>246</v>
      </c>
      <c r="AI12" s="73" t="s">
        <v>247</v>
      </c>
      <c r="AJ12" s="73">
        <v>36</v>
      </c>
      <c r="AK12" s="52"/>
      <c r="AL12" s="73" t="s">
        <v>245</v>
      </c>
      <c r="AM12" s="73" t="s">
        <v>245</v>
      </c>
      <c r="AN12" s="73" t="s">
        <v>245</v>
      </c>
      <c r="AO12" s="115">
        <v>25.95</v>
      </c>
      <c r="AP12" s="115">
        <v>25.95</v>
      </c>
    </row>
    <row r="13" spans="1:42" ht="29.25">
      <c r="A13" s="71" t="s">
        <v>342</v>
      </c>
      <c r="B13" s="66"/>
      <c r="C13" s="110" t="s">
        <v>339</v>
      </c>
      <c r="D13" s="110" t="s">
        <v>377</v>
      </c>
      <c r="E13" s="110" t="s">
        <v>340</v>
      </c>
      <c r="F13" s="116" t="s">
        <v>480</v>
      </c>
      <c r="G13" s="110" t="s">
        <v>341</v>
      </c>
      <c r="H13" s="98"/>
      <c r="I13" s="116" t="s">
        <v>480</v>
      </c>
      <c r="J13" s="116" t="s">
        <v>480</v>
      </c>
      <c r="K13" s="78"/>
      <c r="L13" s="116" t="s">
        <v>480</v>
      </c>
      <c r="M13" s="116" t="s">
        <v>482</v>
      </c>
      <c r="N13" s="116" t="s">
        <v>482</v>
      </c>
      <c r="O13" s="110" t="s">
        <v>339</v>
      </c>
      <c r="P13" s="52"/>
      <c r="Q13" s="116" t="s">
        <v>480</v>
      </c>
      <c r="R13" s="116" t="s">
        <v>480</v>
      </c>
      <c r="S13" s="116" t="s">
        <v>480</v>
      </c>
      <c r="T13" s="110" t="s">
        <v>481</v>
      </c>
      <c r="U13" s="110" t="s">
        <v>481</v>
      </c>
      <c r="V13" s="110"/>
      <c r="W13" s="66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52"/>
      <c r="AL13" s="78"/>
      <c r="AM13" s="78"/>
      <c r="AN13" s="78"/>
      <c r="AO13" s="78"/>
      <c r="AP13" s="78"/>
    </row>
    <row r="14" spans="1:42" ht="31.35" customHeight="1">
      <c r="A14" s="71" t="s">
        <v>248</v>
      </c>
      <c r="B14" s="66" t="s">
        <v>249</v>
      </c>
      <c r="C14" s="100"/>
      <c r="D14" s="100"/>
      <c r="E14" s="100"/>
      <c r="F14" s="100"/>
      <c r="G14" s="100"/>
      <c r="H14" s="100"/>
      <c r="I14" s="100"/>
      <c r="J14" s="100"/>
      <c r="K14" s="72"/>
      <c r="L14" s="100"/>
      <c r="M14"/>
      <c r="N14"/>
      <c r="O14" s="100"/>
      <c r="P14" s="52"/>
      <c r="Q14" s="100"/>
      <c r="R14" s="100"/>
      <c r="S14" s="100"/>
      <c r="T14" s="72"/>
      <c r="U14" s="72"/>
      <c r="V14" s="72"/>
      <c r="W14" s="66"/>
      <c r="X14" s="72">
        <v>11</v>
      </c>
      <c r="Y14" s="72">
        <v>17</v>
      </c>
      <c r="Z14" s="72">
        <v>12</v>
      </c>
      <c r="AA14" s="72" t="s">
        <v>346</v>
      </c>
      <c r="AB14" s="72">
        <v>22</v>
      </c>
      <c r="AC14" s="72">
        <v>13</v>
      </c>
      <c r="AD14" s="72" t="s">
        <v>346</v>
      </c>
      <c r="AE14" s="72" t="s">
        <v>346</v>
      </c>
      <c r="AF14" s="72">
        <v>7</v>
      </c>
      <c r="AG14" s="72" t="s">
        <v>346</v>
      </c>
      <c r="AH14" s="72" t="s">
        <v>348</v>
      </c>
      <c r="AI14" s="72" t="s">
        <v>350</v>
      </c>
      <c r="AJ14" s="72">
        <v>11</v>
      </c>
      <c r="AK14" s="52"/>
      <c r="AL14" s="72" t="s">
        <v>346</v>
      </c>
      <c r="AM14" s="72" t="s">
        <v>346</v>
      </c>
      <c r="AN14" s="72" t="s">
        <v>346</v>
      </c>
      <c r="AO14" s="72" t="s">
        <v>380</v>
      </c>
      <c r="AP14" s="72" t="s">
        <v>380</v>
      </c>
    </row>
    <row r="15" spans="1:42" ht="31.35" customHeight="1">
      <c r="A15" s="71" t="s">
        <v>250</v>
      </c>
      <c r="B15" s="66" t="s">
        <v>251</v>
      </c>
      <c r="C15" s="100"/>
      <c r="D15" s="100"/>
      <c r="E15" s="100"/>
      <c r="F15" s="100"/>
      <c r="G15" s="100"/>
      <c r="H15" s="100"/>
      <c r="I15" s="100"/>
      <c r="J15" s="100"/>
      <c r="K15" s="72"/>
      <c r="L15" s="100"/>
      <c r="M15"/>
      <c r="N15"/>
      <c r="O15" s="100"/>
      <c r="P15" s="52"/>
      <c r="Q15" s="100"/>
      <c r="R15" s="100"/>
      <c r="S15" s="100"/>
      <c r="T15" s="72"/>
      <c r="U15" s="72"/>
      <c r="V15" s="72"/>
      <c r="W15" s="66"/>
      <c r="X15" s="72">
        <v>6</v>
      </c>
      <c r="Y15" s="72">
        <v>6</v>
      </c>
      <c r="Z15" s="72">
        <v>6</v>
      </c>
      <c r="AA15" s="72" t="s">
        <v>347</v>
      </c>
      <c r="AB15" s="72">
        <v>5</v>
      </c>
      <c r="AC15" s="72">
        <v>5</v>
      </c>
      <c r="AD15" s="72" t="s">
        <v>347</v>
      </c>
      <c r="AE15" s="72" t="s">
        <v>347</v>
      </c>
      <c r="AF15" s="72">
        <v>1</v>
      </c>
      <c r="AG15" s="72" t="s">
        <v>347</v>
      </c>
      <c r="AH15" s="72" t="s">
        <v>349</v>
      </c>
      <c r="AI15" s="72" t="s">
        <v>351</v>
      </c>
      <c r="AJ15" s="72">
        <v>6</v>
      </c>
      <c r="AK15" s="52"/>
      <c r="AL15" s="72" t="s">
        <v>347</v>
      </c>
      <c r="AM15" s="72" t="s">
        <v>347</v>
      </c>
      <c r="AN15" s="72" t="s">
        <v>347</v>
      </c>
      <c r="AO15" s="72" t="s">
        <v>381</v>
      </c>
      <c r="AP15" s="72" t="s">
        <v>381</v>
      </c>
    </row>
    <row r="16" spans="1:42" ht="26.25">
      <c r="A16" s="71" t="s">
        <v>252</v>
      </c>
      <c r="B16" s="66" t="s">
        <v>253</v>
      </c>
      <c r="C16" s="100"/>
      <c r="D16" s="100"/>
      <c r="E16" s="100"/>
      <c r="F16" s="100"/>
      <c r="G16" s="100"/>
      <c r="H16" s="100"/>
      <c r="I16" s="100"/>
      <c r="J16" s="100"/>
      <c r="K16" s="72"/>
      <c r="L16" s="100"/>
      <c r="M16"/>
      <c r="N16"/>
      <c r="O16" s="100"/>
      <c r="P16" s="52"/>
      <c r="Q16" s="100"/>
      <c r="R16" s="100"/>
      <c r="S16" s="100"/>
      <c r="T16" s="72"/>
      <c r="U16" s="72"/>
      <c r="V16" s="72"/>
      <c r="W16" s="66"/>
      <c r="X16" s="72">
        <v>50</v>
      </c>
      <c r="Y16" s="72">
        <v>50</v>
      </c>
      <c r="Z16" s="72">
        <v>50</v>
      </c>
      <c r="AA16" s="72">
        <v>50</v>
      </c>
      <c r="AB16" s="72">
        <v>50</v>
      </c>
      <c r="AC16" s="72">
        <v>50</v>
      </c>
      <c r="AD16" s="72">
        <v>50</v>
      </c>
      <c r="AE16" s="72">
        <v>50</v>
      </c>
      <c r="AF16" s="72">
        <v>50</v>
      </c>
      <c r="AG16" s="72">
        <v>50</v>
      </c>
      <c r="AH16" s="72">
        <v>50</v>
      </c>
      <c r="AI16" s="72">
        <v>50</v>
      </c>
      <c r="AJ16" s="72">
        <v>50</v>
      </c>
      <c r="AK16" s="52"/>
      <c r="AL16" s="72">
        <v>50</v>
      </c>
      <c r="AM16" s="72">
        <v>50</v>
      </c>
      <c r="AN16" s="72">
        <v>50</v>
      </c>
      <c r="AO16" s="72">
        <v>50</v>
      </c>
      <c r="AP16" s="72">
        <v>50</v>
      </c>
    </row>
    <row r="17" spans="1:42" ht="26.25">
      <c r="A17" s="71" t="s">
        <v>254</v>
      </c>
      <c r="B17" s="66" t="s">
        <v>255</v>
      </c>
      <c r="C17" s="101"/>
      <c r="D17" s="102"/>
      <c r="E17" s="100"/>
      <c r="F17" s="100"/>
      <c r="G17" s="100"/>
      <c r="H17" s="100"/>
      <c r="I17" s="100"/>
      <c r="J17" s="100"/>
      <c r="K17" s="72"/>
      <c r="L17" s="100"/>
      <c r="M17"/>
      <c r="N17"/>
      <c r="O17" s="101"/>
      <c r="P17" s="52"/>
      <c r="Q17" s="100"/>
      <c r="R17" s="100"/>
      <c r="S17" s="100"/>
      <c r="T17" s="72"/>
      <c r="U17" s="72"/>
      <c r="V17" s="72"/>
      <c r="W17" s="66"/>
      <c r="X17" s="52" t="s">
        <v>256</v>
      </c>
      <c r="Y17" s="74" t="s">
        <v>257</v>
      </c>
      <c r="Z17" s="74" t="s">
        <v>258</v>
      </c>
      <c r="AA17" s="72" t="s">
        <v>259</v>
      </c>
      <c r="AB17" s="74" t="s">
        <v>260</v>
      </c>
      <c r="AC17" s="74" t="s">
        <v>261</v>
      </c>
      <c r="AD17" s="72" t="s">
        <v>259</v>
      </c>
      <c r="AE17" s="72" t="s">
        <v>259</v>
      </c>
      <c r="AF17" s="72">
        <v>1936</v>
      </c>
      <c r="AG17" s="72" t="s">
        <v>259</v>
      </c>
      <c r="AH17" s="72" t="s">
        <v>262</v>
      </c>
      <c r="AI17" s="72" t="s">
        <v>262</v>
      </c>
      <c r="AJ17" s="72" t="s">
        <v>256</v>
      </c>
      <c r="AK17" s="52"/>
      <c r="AL17" s="72" t="s">
        <v>259</v>
      </c>
      <c r="AM17" s="72" t="s">
        <v>259</v>
      </c>
      <c r="AN17" s="72" t="s">
        <v>259</v>
      </c>
      <c r="AO17" s="72" t="s">
        <v>382</v>
      </c>
      <c r="AP17" s="72" t="s">
        <v>382</v>
      </c>
    </row>
    <row r="18" spans="1:42" ht="15.75">
      <c r="A18" s="71" t="s">
        <v>263</v>
      </c>
      <c r="B18" s="66" t="s">
        <v>264</v>
      </c>
      <c r="C18" s="101"/>
      <c r="D18" s="100"/>
      <c r="E18" s="100"/>
      <c r="F18" s="100"/>
      <c r="G18" s="100"/>
      <c r="H18" s="100"/>
      <c r="I18" s="100"/>
      <c r="J18" s="100"/>
      <c r="K18" s="72"/>
      <c r="L18" s="100"/>
      <c r="M18"/>
      <c r="N18"/>
      <c r="O18" s="101"/>
      <c r="P18" s="52"/>
      <c r="Q18" s="100"/>
      <c r="R18" s="100"/>
      <c r="S18" s="100"/>
      <c r="T18" s="72"/>
      <c r="U18" s="72"/>
      <c r="V18" s="72"/>
      <c r="W18" s="66"/>
      <c r="X18" s="63" t="s">
        <v>491</v>
      </c>
      <c r="Y18" s="72" t="s">
        <v>265</v>
      </c>
      <c r="Z18" s="72" t="s">
        <v>266</v>
      </c>
      <c r="AA18" s="72" t="s">
        <v>267</v>
      </c>
      <c r="AB18" s="72" t="s">
        <v>268</v>
      </c>
      <c r="AC18" s="72" t="s">
        <v>269</v>
      </c>
      <c r="AD18" s="72" t="s">
        <v>267</v>
      </c>
      <c r="AE18" s="72" t="s">
        <v>267</v>
      </c>
      <c r="AF18" s="72">
        <v>1</v>
      </c>
      <c r="AG18" s="72" t="s">
        <v>267</v>
      </c>
      <c r="AH18" s="72" t="s">
        <v>267</v>
      </c>
      <c r="AI18" s="72" t="s">
        <v>267</v>
      </c>
      <c r="AJ18" s="63" t="s">
        <v>491</v>
      </c>
      <c r="AK18" s="52"/>
      <c r="AL18" s="72" t="s">
        <v>267</v>
      </c>
      <c r="AM18" s="72" t="s">
        <v>267</v>
      </c>
      <c r="AN18" s="72" t="s">
        <v>267</v>
      </c>
      <c r="AO18" s="72" t="s">
        <v>267</v>
      </c>
      <c r="AP18" s="72" t="s">
        <v>267</v>
      </c>
    </row>
    <row r="19" spans="1:42" ht="15.75">
      <c r="A19" s="71" t="s">
        <v>270</v>
      </c>
      <c r="B19" s="66" t="s">
        <v>271</v>
      </c>
      <c r="C19" s="101"/>
      <c r="D19" s="100"/>
      <c r="E19" s="100"/>
      <c r="F19" s="100"/>
      <c r="G19" s="100"/>
      <c r="H19" s="100"/>
      <c r="I19" s="100"/>
      <c r="J19" s="100"/>
      <c r="K19" s="72"/>
      <c r="L19" s="100"/>
      <c r="M19"/>
      <c r="N19"/>
      <c r="O19" s="101"/>
      <c r="P19" s="52"/>
      <c r="Q19" s="100"/>
      <c r="R19" s="100"/>
      <c r="S19" s="100"/>
      <c r="T19" s="72"/>
      <c r="U19" s="72"/>
      <c r="V19" s="72"/>
      <c r="W19" s="66"/>
      <c r="X19" s="63" t="s">
        <v>492</v>
      </c>
      <c r="Y19" s="72" t="s">
        <v>391</v>
      </c>
      <c r="Z19" s="72" t="s">
        <v>272</v>
      </c>
      <c r="AA19" s="72" t="s">
        <v>494</v>
      </c>
      <c r="AB19" s="72" t="s">
        <v>274</v>
      </c>
      <c r="AC19" s="72" t="s">
        <v>275</v>
      </c>
      <c r="AD19" s="72" t="s">
        <v>494</v>
      </c>
      <c r="AE19" s="72" t="s">
        <v>494</v>
      </c>
      <c r="AF19" s="72"/>
      <c r="AG19" s="72" t="s">
        <v>494</v>
      </c>
      <c r="AH19" s="72" t="s">
        <v>494</v>
      </c>
      <c r="AI19" s="72" t="s">
        <v>494</v>
      </c>
      <c r="AJ19" s="63" t="s">
        <v>492</v>
      </c>
      <c r="AK19" s="52"/>
      <c r="AL19" s="72" t="s">
        <v>494</v>
      </c>
      <c r="AM19" s="72" t="s">
        <v>494</v>
      </c>
      <c r="AN19" s="72" t="s">
        <v>494</v>
      </c>
      <c r="AO19" s="72" t="s">
        <v>494</v>
      </c>
      <c r="AP19" s="72" t="s">
        <v>273</v>
      </c>
    </row>
    <row r="20" spans="1:42" ht="15.75">
      <c r="A20" s="71" t="s">
        <v>276</v>
      </c>
      <c r="B20" s="66" t="s">
        <v>277</v>
      </c>
      <c r="C20" s="101"/>
      <c r="D20" s="100"/>
      <c r="E20" s="100"/>
      <c r="F20" s="100"/>
      <c r="G20" s="100"/>
      <c r="H20" s="100"/>
      <c r="I20" s="100"/>
      <c r="J20" s="100"/>
      <c r="K20" s="72"/>
      <c r="L20" s="100"/>
      <c r="M20"/>
      <c r="N20"/>
      <c r="O20" s="101"/>
      <c r="P20" s="52"/>
      <c r="Q20" s="100"/>
      <c r="R20" s="100"/>
      <c r="S20" s="100"/>
      <c r="T20" s="72"/>
      <c r="U20" s="72"/>
      <c r="V20" s="72"/>
      <c r="W20" s="66"/>
      <c r="X20" s="63" t="s">
        <v>493</v>
      </c>
      <c r="Y20" s="72" t="s">
        <v>392</v>
      </c>
      <c r="Z20" s="72"/>
      <c r="AA20" s="72" t="s">
        <v>495</v>
      </c>
      <c r="AB20" s="72" t="s">
        <v>496</v>
      </c>
      <c r="AC20" s="72"/>
      <c r="AD20" s="72" t="s">
        <v>495</v>
      </c>
      <c r="AE20" s="72" t="s">
        <v>495</v>
      </c>
      <c r="AF20" s="72"/>
      <c r="AG20" s="72" t="s">
        <v>495</v>
      </c>
      <c r="AH20" s="72" t="s">
        <v>495</v>
      </c>
      <c r="AI20" s="72" t="s">
        <v>495</v>
      </c>
      <c r="AJ20" s="63" t="s">
        <v>493</v>
      </c>
      <c r="AK20" s="52"/>
      <c r="AL20" s="72" t="s">
        <v>495</v>
      </c>
      <c r="AM20" s="72" t="s">
        <v>495</v>
      </c>
      <c r="AN20" s="72" t="s">
        <v>495</v>
      </c>
      <c r="AO20" s="72" t="s">
        <v>495</v>
      </c>
      <c r="AP20" s="72" t="s">
        <v>278</v>
      </c>
    </row>
    <row r="21" spans="1:42" ht="15.75">
      <c r="A21" s="71" t="s">
        <v>279</v>
      </c>
      <c r="B21" s="66"/>
      <c r="C21" s="101"/>
      <c r="D21" s="100"/>
      <c r="E21" s="100"/>
      <c r="F21" s="100"/>
      <c r="G21" s="100"/>
      <c r="H21" s="100"/>
      <c r="I21" s="100"/>
      <c r="J21" s="100"/>
      <c r="K21" s="72"/>
      <c r="L21" s="100"/>
      <c r="M21"/>
      <c r="N21"/>
      <c r="O21" s="101"/>
      <c r="P21" s="52"/>
      <c r="Q21" s="100"/>
      <c r="R21" s="100"/>
      <c r="S21" s="100"/>
      <c r="T21" s="72"/>
      <c r="U21" s="72"/>
      <c r="V21" s="72"/>
      <c r="W21" s="66"/>
      <c r="X21" s="52" t="s">
        <v>280</v>
      </c>
      <c r="Y21" s="72" t="s">
        <v>393</v>
      </c>
      <c r="Z21" s="72"/>
      <c r="AA21" s="72">
        <v>1</v>
      </c>
      <c r="AB21" s="72" t="s">
        <v>497</v>
      </c>
      <c r="AC21" s="72"/>
      <c r="AD21" s="72">
        <v>1</v>
      </c>
      <c r="AE21" s="72">
        <v>1</v>
      </c>
      <c r="AF21" s="72"/>
      <c r="AG21" s="72">
        <v>1</v>
      </c>
      <c r="AH21" s="72">
        <v>1</v>
      </c>
      <c r="AI21" s="72">
        <v>1</v>
      </c>
      <c r="AJ21" s="72" t="s">
        <v>280</v>
      </c>
      <c r="AK21" s="52"/>
      <c r="AL21" s="72">
        <v>1</v>
      </c>
      <c r="AM21" s="72">
        <v>1</v>
      </c>
      <c r="AN21" s="72">
        <v>1</v>
      </c>
      <c r="AO21" s="72"/>
      <c r="AP21" s="72"/>
    </row>
    <row r="22" spans="1:42" ht="15.75">
      <c r="A22" s="68" t="s">
        <v>54</v>
      </c>
      <c r="B22" s="69"/>
      <c r="C22" s="96"/>
      <c r="D22" s="96"/>
      <c r="E22" s="96"/>
      <c r="F22" s="96"/>
      <c r="G22" s="96"/>
      <c r="H22" s="96"/>
      <c r="I22" s="96"/>
      <c r="J22" s="96"/>
      <c r="K22" s="70"/>
      <c r="L22" s="96"/>
      <c r="M22" s="96"/>
      <c r="N22" s="96"/>
      <c r="O22" s="96"/>
      <c r="P22" s="70"/>
      <c r="Q22" s="96"/>
      <c r="R22" s="96"/>
      <c r="S22" s="96"/>
      <c r="T22" s="70"/>
      <c r="U22" s="70"/>
      <c r="V22" s="70"/>
      <c r="W22" s="69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</row>
    <row r="23" spans="1:42" ht="15.75">
      <c r="A23" s="71" t="s">
        <v>55</v>
      </c>
      <c r="B23" s="71" t="s">
        <v>56</v>
      </c>
      <c r="C23" s="7" t="s">
        <v>281</v>
      </c>
      <c r="D23" s="7" t="s">
        <v>281</v>
      </c>
      <c r="E23" s="7" t="s">
        <v>281</v>
      </c>
      <c r="F23" s="7" t="s">
        <v>333</v>
      </c>
      <c r="G23" s="7" t="s">
        <v>281</v>
      </c>
      <c r="H23" s="7"/>
      <c r="I23" s="7" t="s">
        <v>333</v>
      </c>
      <c r="J23" s="7" t="s">
        <v>281</v>
      </c>
      <c r="K23" s="29"/>
      <c r="L23" s="7" t="s">
        <v>333</v>
      </c>
      <c r="M23" s="7" t="s">
        <v>333</v>
      </c>
      <c r="N23" s="7" t="s">
        <v>333</v>
      </c>
      <c r="O23" s="7" t="s">
        <v>281</v>
      </c>
      <c r="P23" s="29" t="s">
        <v>281</v>
      </c>
      <c r="Q23" s="7" t="s">
        <v>333</v>
      </c>
      <c r="R23" s="7" t="s">
        <v>333</v>
      </c>
      <c r="S23" s="7" t="s">
        <v>333</v>
      </c>
      <c r="T23" s="29" t="s">
        <v>281</v>
      </c>
      <c r="U23" s="29" t="s">
        <v>281</v>
      </c>
      <c r="V23" s="29" t="s">
        <v>281</v>
      </c>
      <c r="W23" s="71"/>
      <c r="X23" s="29" t="s">
        <v>281</v>
      </c>
      <c r="Y23" s="29" t="s">
        <v>281</v>
      </c>
      <c r="Z23" s="29" t="s">
        <v>281</v>
      </c>
      <c r="AA23" s="29" t="s">
        <v>282</v>
      </c>
      <c r="AB23" s="29" t="s">
        <v>404</v>
      </c>
      <c r="AC23" s="29" t="s">
        <v>281</v>
      </c>
      <c r="AD23" s="29" t="s">
        <v>282</v>
      </c>
      <c r="AE23" s="29" t="s">
        <v>282</v>
      </c>
      <c r="AF23" s="29" t="s">
        <v>281</v>
      </c>
      <c r="AG23" s="29" t="s">
        <v>282</v>
      </c>
      <c r="AH23" s="29" t="s">
        <v>281</v>
      </c>
      <c r="AI23" s="29" t="s">
        <v>281</v>
      </c>
      <c r="AJ23" s="29" t="s">
        <v>281</v>
      </c>
      <c r="AK23" s="29" t="s">
        <v>281</v>
      </c>
      <c r="AL23" s="29" t="s">
        <v>282</v>
      </c>
      <c r="AM23" s="29" t="s">
        <v>282</v>
      </c>
      <c r="AN23" s="29" t="s">
        <v>282</v>
      </c>
      <c r="AO23" s="29" t="s">
        <v>281</v>
      </c>
      <c r="AP23" s="29" t="s">
        <v>281</v>
      </c>
    </row>
    <row r="24" spans="1:42" ht="15.75">
      <c r="A24" s="71" t="s">
        <v>58</v>
      </c>
      <c r="B24" s="71"/>
      <c r="C24" s="7" t="s">
        <v>283</v>
      </c>
      <c r="D24" s="7" t="s">
        <v>283</v>
      </c>
      <c r="E24" s="7" t="s">
        <v>283</v>
      </c>
      <c r="F24" s="7" t="s">
        <v>283</v>
      </c>
      <c r="G24" s="7" t="s">
        <v>283</v>
      </c>
      <c r="H24" s="7"/>
      <c r="I24" s="7" t="s">
        <v>283</v>
      </c>
      <c r="J24" s="7" t="s">
        <v>283</v>
      </c>
      <c r="K24" s="29"/>
      <c r="L24" s="7" t="s">
        <v>283</v>
      </c>
      <c r="M24" s="7" t="s">
        <v>283</v>
      </c>
      <c r="N24" s="7" t="s">
        <v>283</v>
      </c>
      <c r="O24" s="7" t="s">
        <v>283</v>
      </c>
      <c r="P24" s="29" t="s">
        <v>283</v>
      </c>
      <c r="Q24" s="7" t="s">
        <v>283</v>
      </c>
      <c r="R24" s="7" t="s">
        <v>283</v>
      </c>
      <c r="S24" s="7" t="s">
        <v>283</v>
      </c>
      <c r="T24" s="29" t="s">
        <v>283</v>
      </c>
      <c r="U24" s="29" t="s">
        <v>283</v>
      </c>
      <c r="V24" s="29" t="s">
        <v>283</v>
      </c>
      <c r="W24" s="71"/>
      <c r="X24" s="29" t="s">
        <v>283</v>
      </c>
      <c r="Y24" s="29" t="s">
        <v>283</v>
      </c>
      <c r="Z24" s="29" t="s">
        <v>283</v>
      </c>
      <c r="AA24" s="29" t="s">
        <v>283</v>
      </c>
      <c r="AB24" s="29" t="s">
        <v>283</v>
      </c>
      <c r="AC24" s="29" t="s">
        <v>283</v>
      </c>
      <c r="AD24" s="29" t="s">
        <v>283</v>
      </c>
      <c r="AE24" s="29" t="s">
        <v>283</v>
      </c>
      <c r="AF24" s="29" t="s">
        <v>283</v>
      </c>
      <c r="AG24" s="29" t="s">
        <v>283</v>
      </c>
      <c r="AH24" s="29" t="s">
        <v>283</v>
      </c>
      <c r="AI24" s="29" t="s">
        <v>283</v>
      </c>
      <c r="AJ24" s="29" t="s">
        <v>283</v>
      </c>
      <c r="AK24" s="29" t="s">
        <v>283</v>
      </c>
      <c r="AL24" s="29" t="s">
        <v>283</v>
      </c>
      <c r="AM24" s="29" t="s">
        <v>283</v>
      </c>
      <c r="AN24" s="29" t="s">
        <v>283</v>
      </c>
      <c r="AO24" s="29" t="s">
        <v>283</v>
      </c>
      <c r="AP24" s="29" t="s">
        <v>283</v>
      </c>
    </row>
    <row r="25" spans="1:42" ht="15.75">
      <c r="A25" s="71" t="s">
        <v>60</v>
      </c>
      <c r="B25" s="71"/>
      <c r="C25" s="7" t="s">
        <v>61</v>
      </c>
      <c r="D25" s="7" t="s">
        <v>61</v>
      </c>
      <c r="E25" s="7" t="s">
        <v>61</v>
      </c>
      <c r="F25" s="7" t="s">
        <v>62</v>
      </c>
      <c r="G25" s="7" t="s">
        <v>61</v>
      </c>
      <c r="H25" s="7"/>
      <c r="I25" s="93" t="s">
        <v>63</v>
      </c>
      <c r="J25" s="93" t="s">
        <v>63</v>
      </c>
      <c r="K25" s="29"/>
      <c r="L25" s="7" t="s">
        <v>62</v>
      </c>
      <c r="M25" s="93" t="s">
        <v>63</v>
      </c>
      <c r="N25" s="93" t="s">
        <v>63</v>
      </c>
      <c r="O25" s="7" t="s">
        <v>61</v>
      </c>
      <c r="P25" s="29" t="s">
        <v>63</v>
      </c>
      <c r="Q25" s="7" t="s">
        <v>62</v>
      </c>
      <c r="R25" s="7" t="s">
        <v>62</v>
      </c>
      <c r="S25" s="7" t="s">
        <v>62</v>
      </c>
      <c r="T25" s="29" t="s">
        <v>61</v>
      </c>
      <c r="U25" s="29" t="s">
        <v>61</v>
      </c>
      <c r="V25" s="29" t="s">
        <v>63</v>
      </c>
      <c r="W25" s="71"/>
      <c r="X25" s="29" t="s">
        <v>61</v>
      </c>
      <c r="Y25" s="29" t="s">
        <v>61</v>
      </c>
      <c r="Z25" s="29" t="s">
        <v>61</v>
      </c>
      <c r="AA25" s="29" t="s">
        <v>62</v>
      </c>
      <c r="AB25" s="29" t="s">
        <v>61</v>
      </c>
      <c r="AC25" s="29" t="s">
        <v>61</v>
      </c>
      <c r="AD25" s="29" t="s">
        <v>63</v>
      </c>
      <c r="AE25" s="29" t="s">
        <v>63</v>
      </c>
      <c r="AF25" s="29" t="s">
        <v>63</v>
      </c>
      <c r="AG25" s="29" t="s">
        <v>62</v>
      </c>
      <c r="AH25" s="29" t="s">
        <v>63</v>
      </c>
      <c r="AI25" s="29" t="s">
        <v>63</v>
      </c>
      <c r="AJ25" s="29" t="s">
        <v>61</v>
      </c>
      <c r="AK25" s="29" t="s">
        <v>63</v>
      </c>
      <c r="AL25" s="29" t="s">
        <v>62</v>
      </c>
      <c r="AM25" s="29" t="s">
        <v>62</v>
      </c>
      <c r="AN25" s="29" t="s">
        <v>62</v>
      </c>
      <c r="AO25" s="29" t="s">
        <v>61</v>
      </c>
      <c r="AP25" s="29" t="s">
        <v>61</v>
      </c>
    </row>
    <row r="26" spans="1:42" ht="15.75">
      <c r="A26" s="71" t="s">
        <v>67</v>
      </c>
      <c r="B26" s="71"/>
      <c r="C26" s="103">
        <v>7.8125E-3</v>
      </c>
      <c r="D26" s="104">
        <v>7.8125E-3</v>
      </c>
      <c r="E26" s="104">
        <v>7.8125E-3</v>
      </c>
      <c r="F26" s="104">
        <f>1/32</f>
        <v>3.125E-2</v>
      </c>
      <c r="G26" s="104">
        <v>7.8125E-3</v>
      </c>
      <c r="H26" s="104"/>
      <c r="I26" s="104">
        <f t="shared" ref="I26:N26" si="2">1/32</f>
        <v>3.125E-2</v>
      </c>
      <c r="J26" s="104">
        <f t="shared" si="2"/>
        <v>3.125E-2</v>
      </c>
      <c r="K26" s="76"/>
      <c r="L26" s="104">
        <f t="shared" si="2"/>
        <v>3.125E-2</v>
      </c>
      <c r="M26" s="104">
        <f t="shared" si="2"/>
        <v>3.125E-2</v>
      </c>
      <c r="N26" s="104">
        <f t="shared" si="2"/>
        <v>3.125E-2</v>
      </c>
      <c r="O26" s="103">
        <v>7.8125E-3</v>
      </c>
      <c r="P26" s="92" t="s">
        <v>369</v>
      </c>
      <c r="Q26" s="104">
        <f>1/32</f>
        <v>3.125E-2</v>
      </c>
      <c r="R26" s="104">
        <f>1/32</f>
        <v>3.125E-2</v>
      </c>
      <c r="S26" s="104">
        <f>1/32</f>
        <v>3.125E-2</v>
      </c>
      <c r="T26" s="76">
        <f>1/16</f>
        <v>6.25E-2</v>
      </c>
      <c r="U26" s="76">
        <f>1/128</f>
        <v>7.8125E-3</v>
      </c>
      <c r="V26" s="76" t="s">
        <v>72</v>
      </c>
      <c r="W26" s="71"/>
      <c r="X26" s="75">
        <v>7.8125E-3</v>
      </c>
      <c r="Y26" s="76">
        <v>7.8125E-3</v>
      </c>
      <c r="Z26" s="76">
        <v>7.8125E-3</v>
      </c>
      <c r="AA26" s="76">
        <f>1/32</f>
        <v>3.125E-2</v>
      </c>
      <c r="AB26" s="76">
        <v>7.8125E-3</v>
      </c>
      <c r="AC26" s="76">
        <v>7.8125E-3</v>
      </c>
      <c r="AD26" s="76">
        <f t="shared" ref="AD26:AI26" si="3">1/32</f>
        <v>3.125E-2</v>
      </c>
      <c r="AE26" s="76">
        <f t="shared" si="3"/>
        <v>3.125E-2</v>
      </c>
      <c r="AF26" s="76">
        <f t="shared" si="3"/>
        <v>3.125E-2</v>
      </c>
      <c r="AG26" s="76">
        <f t="shared" si="3"/>
        <v>3.125E-2</v>
      </c>
      <c r="AH26" s="76">
        <f t="shared" si="3"/>
        <v>3.125E-2</v>
      </c>
      <c r="AI26" s="76">
        <f t="shared" si="3"/>
        <v>3.125E-2</v>
      </c>
      <c r="AJ26" s="76">
        <v>7.8125E-3</v>
      </c>
      <c r="AK26" s="92" t="s">
        <v>369</v>
      </c>
      <c r="AL26" s="76">
        <f>1/32</f>
        <v>3.125E-2</v>
      </c>
      <c r="AM26" s="76">
        <f>1/32</f>
        <v>3.125E-2</v>
      </c>
      <c r="AN26" s="76">
        <f>1/32</f>
        <v>3.125E-2</v>
      </c>
      <c r="AO26" s="76">
        <f>1/16</f>
        <v>6.25E-2</v>
      </c>
      <c r="AP26" s="76">
        <f>1/128</f>
        <v>7.8125E-3</v>
      </c>
    </row>
    <row r="27" spans="1:42" ht="15.75">
      <c r="A27" s="71" t="s">
        <v>75</v>
      </c>
      <c r="B27" s="71" t="s">
        <v>76</v>
      </c>
      <c r="C27" s="7">
        <v>27</v>
      </c>
      <c r="D27" s="7">
        <v>27</v>
      </c>
      <c r="E27" s="7">
        <v>27</v>
      </c>
      <c r="F27" s="7">
        <v>108</v>
      </c>
      <c r="G27" s="7">
        <v>27</v>
      </c>
      <c r="H27" s="7"/>
      <c r="I27" s="7">
        <v>54</v>
      </c>
      <c r="J27" s="7">
        <v>54</v>
      </c>
      <c r="K27" s="29"/>
      <c r="L27" s="7">
        <v>108</v>
      </c>
      <c r="M27" s="7">
        <v>54</v>
      </c>
      <c r="N27" s="7">
        <v>54</v>
      </c>
      <c r="O27" s="7">
        <v>27</v>
      </c>
      <c r="P27" s="85">
        <v>59</v>
      </c>
      <c r="Q27" s="7">
        <v>108</v>
      </c>
      <c r="R27" s="7">
        <v>108</v>
      </c>
      <c r="S27" s="7">
        <v>108</v>
      </c>
      <c r="T27" s="29">
        <v>27</v>
      </c>
      <c r="U27" s="29">
        <v>27</v>
      </c>
      <c r="V27" s="29">
        <v>59</v>
      </c>
      <c r="W27" s="71"/>
      <c r="X27" s="29">
        <v>27</v>
      </c>
      <c r="Y27" s="29">
        <v>27</v>
      </c>
      <c r="Z27" s="29">
        <v>27</v>
      </c>
      <c r="AA27" s="29">
        <v>108</v>
      </c>
      <c r="AB27" s="29">
        <v>27</v>
      </c>
      <c r="AC27" s="29">
        <v>27</v>
      </c>
      <c r="AD27" s="29">
        <v>54</v>
      </c>
      <c r="AE27" s="29">
        <v>54</v>
      </c>
      <c r="AF27" s="29">
        <v>54</v>
      </c>
      <c r="AG27" s="29">
        <v>108</v>
      </c>
      <c r="AH27" s="29">
        <v>54</v>
      </c>
      <c r="AI27" s="29">
        <v>54</v>
      </c>
      <c r="AJ27" s="29">
        <v>27</v>
      </c>
      <c r="AK27" s="85">
        <v>59</v>
      </c>
      <c r="AL27" s="29">
        <v>108</v>
      </c>
      <c r="AM27" s="29">
        <v>108</v>
      </c>
      <c r="AN27" s="29">
        <v>108</v>
      </c>
      <c r="AO27" s="29">
        <v>27</v>
      </c>
      <c r="AP27" s="29">
        <v>27</v>
      </c>
    </row>
    <row r="28" spans="1:42" ht="15.75">
      <c r="A28" s="71" t="s">
        <v>77</v>
      </c>
      <c r="B28" s="71"/>
      <c r="C28" s="7" t="s">
        <v>78</v>
      </c>
      <c r="D28" s="7" t="s">
        <v>78</v>
      </c>
      <c r="E28" s="7" t="s">
        <v>78</v>
      </c>
      <c r="F28" s="7" t="s">
        <v>78</v>
      </c>
      <c r="G28" s="7" t="s">
        <v>78</v>
      </c>
      <c r="H28" s="7"/>
      <c r="I28" s="7" t="s">
        <v>78</v>
      </c>
      <c r="J28" s="7" t="s">
        <v>78</v>
      </c>
      <c r="K28" s="29"/>
      <c r="L28" s="7" t="s">
        <v>78</v>
      </c>
      <c r="M28" s="7" t="s">
        <v>78</v>
      </c>
      <c r="N28" s="7" t="s">
        <v>78</v>
      </c>
      <c r="O28" s="7" t="s">
        <v>78</v>
      </c>
      <c r="P28" s="92" t="s">
        <v>370</v>
      </c>
      <c r="Q28" s="7" t="s">
        <v>78</v>
      </c>
      <c r="R28" s="7" t="s">
        <v>78</v>
      </c>
      <c r="S28" s="7" t="s">
        <v>78</v>
      </c>
      <c r="T28" s="29" t="s">
        <v>18</v>
      </c>
      <c r="U28" s="29" t="s">
        <v>78</v>
      </c>
      <c r="V28" s="29" t="s">
        <v>18</v>
      </c>
      <c r="W28" s="71"/>
      <c r="X28" s="29" t="s">
        <v>78</v>
      </c>
      <c r="Y28" s="29" t="s">
        <v>78</v>
      </c>
      <c r="Z28" s="29" t="s">
        <v>78</v>
      </c>
      <c r="AA28" s="29" t="s">
        <v>78</v>
      </c>
      <c r="AB28" s="29" t="s">
        <v>78</v>
      </c>
      <c r="AC28" s="29" t="s">
        <v>78</v>
      </c>
      <c r="AD28" s="29" t="s">
        <v>78</v>
      </c>
      <c r="AE28" s="29" t="s">
        <v>78</v>
      </c>
      <c r="AF28" s="29" t="s">
        <v>78</v>
      </c>
      <c r="AG28" s="29" t="s">
        <v>78</v>
      </c>
      <c r="AH28" s="29" t="s">
        <v>78</v>
      </c>
      <c r="AI28" s="29" t="s">
        <v>78</v>
      </c>
      <c r="AJ28" s="29" t="s">
        <v>78</v>
      </c>
      <c r="AK28" s="92" t="s">
        <v>370</v>
      </c>
      <c r="AL28" s="29" t="s">
        <v>78</v>
      </c>
      <c r="AM28" s="29" t="s">
        <v>78</v>
      </c>
      <c r="AN28" s="29" t="s">
        <v>78</v>
      </c>
      <c r="AO28" s="29" t="s">
        <v>18</v>
      </c>
      <c r="AP28" s="29" t="s">
        <v>78</v>
      </c>
    </row>
    <row r="29" spans="1:42" ht="15.75">
      <c r="A29" s="71" t="s">
        <v>79</v>
      </c>
      <c r="B29" s="71"/>
      <c r="C29" s="29" t="s">
        <v>284</v>
      </c>
      <c r="D29" s="29" t="s">
        <v>284</v>
      </c>
      <c r="E29" s="29" t="s">
        <v>284</v>
      </c>
      <c r="F29" s="29" t="s">
        <v>284</v>
      </c>
      <c r="G29" s="29" t="s">
        <v>284</v>
      </c>
      <c r="H29" s="7"/>
      <c r="I29" s="29" t="s">
        <v>284</v>
      </c>
      <c r="J29" s="29" t="s">
        <v>284</v>
      </c>
      <c r="K29" s="29"/>
      <c r="L29" s="29" t="s">
        <v>284</v>
      </c>
      <c r="M29" s="29" t="s">
        <v>284</v>
      </c>
      <c r="N29" s="29" t="s">
        <v>284</v>
      </c>
      <c r="O29" s="29" t="s">
        <v>284</v>
      </c>
      <c r="P29" s="29" t="s">
        <v>284</v>
      </c>
      <c r="Q29" s="29" t="s">
        <v>284</v>
      </c>
      <c r="R29" s="29" t="s">
        <v>284</v>
      </c>
      <c r="S29" s="29" t="s">
        <v>284</v>
      </c>
      <c r="T29" s="29" t="s">
        <v>284</v>
      </c>
      <c r="U29" s="29" t="s">
        <v>284</v>
      </c>
      <c r="V29" s="29" t="s">
        <v>284</v>
      </c>
      <c r="W29" s="71"/>
      <c r="X29" s="29" t="s">
        <v>284</v>
      </c>
      <c r="Y29" s="29" t="s">
        <v>284</v>
      </c>
      <c r="Z29" s="29" t="s">
        <v>284</v>
      </c>
      <c r="AA29" s="29" t="s">
        <v>284</v>
      </c>
      <c r="AB29" s="29" t="s">
        <v>284</v>
      </c>
      <c r="AC29" s="29" t="s">
        <v>284</v>
      </c>
      <c r="AD29" s="29" t="s">
        <v>284</v>
      </c>
      <c r="AE29" s="29" t="s">
        <v>284</v>
      </c>
      <c r="AF29" s="29" t="s">
        <v>284</v>
      </c>
      <c r="AG29" s="29" t="s">
        <v>284</v>
      </c>
      <c r="AH29" s="29" t="s">
        <v>284</v>
      </c>
      <c r="AI29" s="29" t="s">
        <v>284</v>
      </c>
      <c r="AJ29" s="29" t="s">
        <v>284</v>
      </c>
      <c r="AK29" s="29" t="s">
        <v>284</v>
      </c>
      <c r="AL29" s="29" t="s">
        <v>284</v>
      </c>
      <c r="AM29" s="29" t="s">
        <v>284</v>
      </c>
      <c r="AN29" s="29" t="s">
        <v>284</v>
      </c>
      <c r="AO29" s="29" t="s">
        <v>284</v>
      </c>
      <c r="AP29" s="29" t="s">
        <v>284</v>
      </c>
    </row>
    <row r="30" spans="1:42" ht="15.75">
      <c r="A30" s="71" t="s">
        <v>84</v>
      </c>
      <c r="B30" s="71"/>
      <c r="C30" s="7">
        <v>2</v>
      </c>
      <c r="D30" s="7">
        <v>2</v>
      </c>
      <c r="E30" s="7">
        <v>2</v>
      </c>
      <c r="F30" s="7">
        <v>56</v>
      </c>
      <c r="G30" s="7">
        <v>2</v>
      </c>
      <c r="H30" s="7"/>
      <c r="I30" s="7">
        <v>56</v>
      </c>
      <c r="J30" s="7">
        <v>56</v>
      </c>
      <c r="K30" s="29"/>
      <c r="L30" s="7">
        <v>56</v>
      </c>
      <c r="M30" s="7">
        <v>2</v>
      </c>
      <c r="N30" s="7">
        <v>2</v>
      </c>
      <c r="O30" s="7">
        <v>2</v>
      </c>
      <c r="P30" s="85">
        <v>2</v>
      </c>
      <c r="Q30" s="7">
        <v>12</v>
      </c>
      <c r="R30" s="7">
        <v>12</v>
      </c>
      <c r="S30" s="7">
        <v>56</v>
      </c>
      <c r="T30" s="29">
        <v>2</v>
      </c>
      <c r="U30" s="29">
        <v>2</v>
      </c>
      <c r="V30" s="29">
        <v>2</v>
      </c>
      <c r="W30" s="71"/>
      <c r="X30" s="29">
        <v>2</v>
      </c>
      <c r="Y30" s="29">
        <v>2</v>
      </c>
      <c r="Z30" s="29">
        <v>2</v>
      </c>
      <c r="AA30" s="29">
        <v>12</v>
      </c>
      <c r="AB30" s="29">
        <v>2</v>
      </c>
      <c r="AC30" s="29">
        <v>2</v>
      </c>
      <c r="AD30" s="29">
        <v>12</v>
      </c>
      <c r="AE30" s="29">
        <v>12</v>
      </c>
      <c r="AF30" s="29">
        <v>2</v>
      </c>
      <c r="AG30" s="29">
        <v>12</v>
      </c>
      <c r="AH30" s="29">
        <v>2</v>
      </c>
      <c r="AI30" s="29">
        <v>2</v>
      </c>
      <c r="AJ30" s="29">
        <v>2</v>
      </c>
      <c r="AK30" s="85">
        <v>2</v>
      </c>
      <c r="AL30" s="29">
        <v>12</v>
      </c>
      <c r="AM30" s="29">
        <v>12</v>
      </c>
      <c r="AN30" s="29">
        <v>12</v>
      </c>
      <c r="AO30" s="29">
        <v>2</v>
      </c>
      <c r="AP30" s="29">
        <v>2</v>
      </c>
    </row>
    <row r="31" spans="1:42" s="77" customFormat="1" ht="39" customHeight="1">
      <c r="A31" s="71" t="s">
        <v>85</v>
      </c>
      <c r="B31" s="71"/>
      <c r="C31" s="7" t="s">
        <v>86</v>
      </c>
      <c r="D31" s="7" t="s">
        <v>86</v>
      </c>
      <c r="E31" s="7" t="s">
        <v>86</v>
      </c>
      <c r="F31" s="7" t="s">
        <v>86</v>
      </c>
      <c r="G31" s="7" t="s">
        <v>86</v>
      </c>
      <c r="H31" s="7"/>
      <c r="I31" s="7" t="s">
        <v>86</v>
      </c>
      <c r="J31" s="7" t="s">
        <v>86</v>
      </c>
      <c r="K31" s="29"/>
      <c r="L31" s="7" t="s">
        <v>86</v>
      </c>
      <c r="M31" s="7" t="s">
        <v>86</v>
      </c>
      <c r="N31" s="7" t="s">
        <v>86</v>
      </c>
      <c r="O31" s="7" t="s">
        <v>86</v>
      </c>
      <c r="P31" s="29" t="s">
        <v>86</v>
      </c>
      <c r="Q31" s="7" t="s">
        <v>86</v>
      </c>
      <c r="R31" s="7" t="s">
        <v>86</v>
      </c>
      <c r="S31" s="7" t="s">
        <v>86</v>
      </c>
      <c r="T31" s="29" t="s">
        <v>86</v>
      </c>
      <c r="U31" s="29" t="s">
        <v>86</v>
      </c>
      <c r="V31" s="29" t="s">
        <v>86</v>
      </c>
      <c r="W31" s="71"/>
      <c r="X31" s="29" t="s">
        <v>86</v>
      </c>
      <c r="Y31" s="29" t="s">
        <v>86</v>
      </c>
      <c r="Z31" s="29" t="s">
        <v>86</v>
      </c>
      <c r="AA31" s="29" t="s">
        <v>86</v>
      </c>
      <c r="AB31" s="29" t="s">
        <v>86</v>
      </c>
      <c r="AC31" s="29" t="s">
        <v>285</v>
      </c>
      <c r="AD31" s="29" t="s">
        <v>86</v>
      </c>
      <c r="AE31" s="29" t="s">
        <v>86</v>
      </c>
      <c r="AF31" s="29" t="s">
        <v>86</v>
      </c>
      <c r="AG31" s="29" t="s">
        <v>86</v>
      </c>
      <c r="AH31" s="29" t="s">
        <v>86</v>
      </c>
      <c r="AI31" s="29" t="s">
        <v>86</v>
      </c>
      <c r="AJ31" s="29" t="s">
        <v>86</v>
      </c>
      <c r="AK31" s="29" t="s">
        <v>86</v>
      </c>
      <c r="AL31" s="29" t="s">
        <v>86</v>
      </c>
      <c r="AM31" s="29" t="s">
        <v>86</v>
      </c>
      <c r="AN31" s="29" t="s">
        <v>86</v>
      </c>
      <c r="AO31" s="29" t="s">
        <v>86</v>
      </c>
      <c r="AP31" s="29" t="s">
        <v>86</v>
      </c>
    </row>
    <row r="32" spans="1:42" ht="15.75">
      <c r="A32" s="71" t="s">
        <v>199</v>
      </c>
      <c r="B32" s="71"/>
      <c r="C32" s="7">
        <f>7/64</f>
        <v>0.109375</v>
      </c>
      <c r="D32" s="7">
        <f>7/64</f>
        <v>0.109375</v>
      </c>
      <c r="E32" s="7">
        <f>7/64</f>
        <v>0.109375</v>
      </c>
      <c r="F32" s="7">
        <f>7/64</f>
        <v>0.109375</v>
      </c>
      <c r="G32" s="7">
        <f>7/64</f>
        <v>0.109375</v>
      </c>
      <c r="H32" s="7"/>
      <c r="I32" s="7">
        <f>7/64</f>
        <v>0.109375</v>
      </c>
      <c r="J32" s="7">
        <f>7/64</f>
        <v>0.109375</v>
      </c>
      <c r="K32" s="29"/>
      <c r="L32" s="7">
        <f t="shared" ref="L32:S32" si="4">7/64</f>
        <v>0.109375</v>
      </c>
      <c r="M32" s="7">
        <f t="shared" si="4"/>
        <v>0.109375</v>
      </c>
      <c r="N32" s="7">
        <f t="shared" si="4"/>
        <v>0.109375</v>
      </c>
      <c r="O32" s="7">
        <f t="shared" si="4"/>
        <v>0.109375</v>
      </c>
      <c r="P32" s="29">
        <f t="shared" si="4"/>
        <v>0.109375</v>
      </c>
      <c r="Q32" s="7">
        <f t="shared" si="4"/>
        <v>0.109375</v>
      </c>
      <c r="R32" s="7">
        <f t="shared" si="4"/>
        <v>0.109375</v>
      </c>
      <c r="S32" s="7">
        <f t="shared" si="4"/>
        <v>0.109375</v>
      </c>
      <c r="T32" s="29">
        <f>7/64</f>
        <v>0.109375</v>
      </c>
      <c r="U32" s="29">
        <f>7/64</f>
        <v>0.109375</v>
      </c>
      <c r="V32" s="29">
        <v>0.109375</v>
      </c>
      <c r="W32" s="71"/>
      <c r="X32" s="29">
        <f>7/64</f>
        <v>0.109375</v>
      </c>
      <c r="Y32" s="29">
        <f>7/64</f>
        <v>0.109375</v>
      </c>
      <c r="Z32" s="29">
        <f>7/64</f>
        <v>0.109375</v>
      </c>
      <c r="AA32" s="29">
        <f>7/64</f>
        <v>0.109375</v>
      </c>
      <c r="AB32" s="29">
        <f>7/64</f>
        <v>0.109375</v>
      </c>
      <c r="AC32" s="29">
        <f>7/40</f>
        <v>0.17499999999999999</v>
      </c>
      <c r="AD32" s="29">
        <f t="shared" ref="AD32:AI32" si="5">7/64</f>
        <v>0.109375</v>
      </c>
      <c r="AE32" s="29">
        <f t="shared" si="5"/>
        <v>0.109375</v>
      </c>
      <c r="AF32" s="29">
        <f t="shared" si="5"/>
        <v>0.109375</v>
      </c>
      <c r="AG32" s="29">
        <f t="shared" si="5"/>
        <v>0.109375</v>
      </c>
      <c r="AH32" s="29">
        <f t="shared" si="5"/>
        <v>0.109375</v>
      </c>
      <c r="AI32" s="29">
        <f t="shared" si="5"/>
        <v>0.109375</v>
      </c>
      <c r="AJ32" s="29">
        <f t="shared" ref="AJ32:AP32" si="6">7/64</f>
        <v>0.109375</v>
      </c>
      <c r="AK32" s="29">
        <f t="shared" si="6"/>
        <v>0.109375</v>
      </c>
      <c r="AL32" s="29">
        <f t="shared" si="6"/>
        <v>0.109375</v>
      </c>
      <c r="AM32" s="29">
        <f t="shared" si="6"/>
        <v>0.109375</v>
      </c>
      <c r="AN32" s="29">
        <f t="shared" si="6"/>
        <v>0.109375</v>
      </c>
      <c r="AO32" s="29">
        <f t="shared" si="6"/>
        <v>0.109375</v>
      </c>
      <c r="AP32" s="29">
        <f t="shared" si="6"/>
        <v>0.109375</v>
      </c>
    </row>
    <row r="33" spans="1:42" ht="15.75">
      <c r="A33" s="71" t="s">
        <v>87</v>
      </c>
      <c r="B33" s="71"/>
      <c r="C33" s="7" t="s">
        <v>88</v>
      </c>
      <c r="D33" s="7" t="s">
        <v>88</v>
      </c>
      <c r="E33" s="7" t="s">
        <v>88</v>
      </c>
      <c r="F33" s="7" t="s">
        <v>88</v>
      </c>
      <c r="G33" s="7" t="s">
        <v>88</v>
      </c>
      <c r="H33" s="7"/>
      <c r="I33" s="7" t="s">
        <v>88</v>
      </c>
      <c r="J33" s="7" t="s">
        <v>88</v>
      </c>
      <c r="K33" s="29"/>
      <c r="L33" s="7" t="s">
        <v>88</v>
      </c>
      <c r="M33" s="7" t="s">
        <v>88</v>
      </c>
      <c r="N33" s="7" t="s">
        <v>88</v>
      </c>
      <c r="O33" s="7" t="s">
        <v>88</v>
      </c>
      <c r="P33" s="92" t="s">
        <v>371</v>
      </c>
      <c r="Q33" s="7" t="s">
        <v>88</v>
      </c>
      <c r="R33" s="7" t="s">
        <v>88</v>
      </c>
      <c r="S33" s="7" t="s">
        <v>88</v>
      </c>
      <c r="T33" s="29" t="s">
        <v>88</v>
      </c>
      <c r="U33" s="29" t="s">
        <v>88</v>
      </c>
      <c r="V33" s="29" t="s">
        <v>89</v>
      </c>
      <c r="W33" s="71"/>
      <c r="X33" s="29" t="s">
        <v>88</v>
      </c>
      <c r="Y33" s="29" t="s">
        <v>88</v>
      </c>
      <c r="Z33" s="29" t="s">
        <v>88</v>
      </c>
      <c r="AA33" s="29" t="s">
        <v>88</v>
      </c>
      <c r="AB33" s="29" t="s">
        <v>88</v>
      </c>
      <c r="AC33" s="29" t="s">
        <v>88</v>
      </c>
      <c r="AD33" s="29" t="s">
        <v>88</v>
      </c>
      <c r="AE33" s="29" t="s">
        <v>88</v>
      </c>
      <c r="AF33" s="29" t="s">
        <v>88</v>
      </c>
      <c r="AG33" s="29" t="s">
        <v>88</v>
      </c>
      <c r="AH33" s="29" t="s">
        <v>88</v>
      </c>
      <c r="AI33" s="29" t="s">
        <v>88</v>
      </c>
      <c r="AJ33" s="29" t="s">
        <v>88</v>
      </c>
      <c r="AK33" s="92" t="s">
        <v>371</v>
      </c>
      <c r="AL33" s="29" t="s">
        <v>88</v>
      </c>
      <c r="AM33" s="29" t="s">
        <v>88</v>
      </c>
      <c r="AN33" s="29" t="s">
        <v>88</v>
      </c>
      <c r="AO33" s="29" t="s">
        <v>88</v>
      </c>
      <c r="AP33" s="29" t="s">
        <v>88</v>
      </c>
    </row>
    <row r="34" spans="1:42" ht="15.75">
      <c r="A34" s="71" t="s">
        <v>90</v>
      </c>
      <c r="B34" s="71"/>
      <c r="C34" s="7" t="s">
        <v>91</v>
      </c>
      <c r="D34" s="7" t="s">
        <v>91</v>
      </c>
      <c r="E34" s="7" t="s">
        <v>91</v>
      </c>
      <c r="F34" s="7" t="s">
        <v>91</v>
      </c>
      <c r="G34" s="7" t="s">
        <v>91</v>
      </c>
      <c r="H34" s="7"/>
      <c r="I34" s="7" t="s">
        <v>91</v>
      </c>
      <c r="J34" s="7" t="s">
        <v>91</v>
      </c>
      <c r="K34" s="29"/>
      <c r="L34" s="7" t="s">
        <v>91</v>
      </c>
      <c r="M34" s="7" t="s">
        <v>91</v>
      </c>
      <c r="N34" s="7" t="s">
        <v>91</v>
      </c>
      <c r="O34" s="7" t="s">
        <v>91</v>
      </c>
      <c r="P34" s="92" t="s">
        <v>372</v>
      </c>
      <c r="Q34" s="7" t="s">
        <v>91</v>
      </c>
      <c r="R34" s="7" t="s">
        <v>91</v>
      </c>
      <c r="S34" s="7" t="s">
        <v>91</v>
      </c>
      <c r="T34" s="29" t="s">
        <v>95</v>
      </c>
      <c r="U34" s="29" t="s">
        <v>91</v>
      </c>
      <c r="V34" s="29" t="s">
        <v>94</v>
      </c>
      <c r="W34" s="71"/>
      <c r="X34" s="29" t="s">
        <v>91</v>
      </c>
      <c r="Y34" s="29" t="s">
        <v>91</v>
      </c>
      <c r="Z34" s="29" t="s">
        <v>91</v>
      </c>
      <c r="AA34" s="29" t="s">
        <v>91</v>
      </c>
      <c r="AB34" s="29" t="s">
        <v>91</v>
      </c>
      <c r="AC34" s="29" t="s">
        <v>91</v>
      </c>
      <c r="AD34" s="29" t="s">
        <v>91</v>
      </c>
      <c r="AE34" s="29" t="s">
        <v>91</v>
      </c>
      <c r="AF34" s="29" t="s">
        <v>91</v>
      </c>
      <c r="AG34" s="29" t="s">
        <v>91</v>
      </c>
      <c r="AH34" s="29" t="s">
        <v>91</v>
      </c>
      <c r="AI34" s="29" t="s">
        <v>91</v>
      </c>
      <c r="AJ34" s="29" t="s">
        <v>91</v>
      </c>
      <c r="AK34" s="92" t="s">
        <v>372</v>
      </c>
      <c r="AL34" s="29" t="s">
        <v>91</v>
      </c>
      <c r="AM34" s="29" t="s">
        <v>91</v>
      </c>
      <c r="AN34" s="29" t="s">
        <v>91</v>
      </c>
      <c r="AO34" s="29" t="s">
        <v>95</v>
      </c>
      <c r="AP34" s="29" t="s">
        <v>91</v>
      </c>
    </row>
    <row r="35" spans="1:42" ht="15.75">
      <c r="A35" s="71" t="s">
        <v>98</v>
      </c>
      <c r="B35" s="71"/>
      <c r="C35" s="7" t="s">
        <v>100</v>
      </c>
      <c r="D35" s="7" t="s">
        <v>99</v>
      </c>
      <c r="E35" s="7" t="s">
        <v>102</v>
      </c>
      <c r="F35" s="7" t="s">
        <v>102</v>
      </c>
      <c r="G35" s="7" t="s">
        <v>100</v>
      </c>
      <c r="H35" s="7"/>
      <c r="I35" s="7" t="s">
        <v>102</v>
      </c>
      <c r="J35" s="7" t="s">
        <v>102</v>
      </c>
      <c r="K35" s="29"/>
      <c r="L35" s="93" t="s">
        <v>101</v>
      </c>
      <c r="M35" s="93" t="s">
        <v>100</v>
      </c>
      <c r="N35" s="7" t="s">
        <v>102</v>
      </c>
      <c r="O35" s="7" t="s">
        <v>100</v>
      </c>
      <c r="P35" s="29" t="s">
        <v>101</v>
      </c>
      <c r="Q35" s="7" t="s">
        <v>102</v>
      </c>
      <c r="R35" s="7" t="s">
        <v>102</v>
      </c>
      <c r="S35" s="7" t="s">
        <v>102</v>
      </c>
      <c r="T35" s="29" t="s">
        <v>100</v>
      </c>
      <c r="U35" s="29" t="s">
        <v>100</v>
      </c>
      <c r="V35" s="29" t="s">
        <v>101</v>
      </c>
      <c r="W35" s="71"/>
      <c r="X35" s="29" t="s">
        <v>100</v>
      </c>
      <c r="Y35" s="29" t="s">
        <v>99</v>
      </c>
      <c r="Z35" s="29" t="s">
        <v>102</v>
      </c>
      <c r="AA35" s="29" t="s">
        <v>102</v>
      </c>
      <c r="AB35" s="29" t="s">
        <v>100</v>
      </c>
      <c r="AC35" s="29" t="s">
        <v>102</v>
      </c>
      <c r="AD35" s="29" t="s">
        <v>102</v>
      </c>
      <c r="AE35" s="29" t="s">
        <v>102</v>
      </c>
      <c r="AF35" s="29" t="s">
        <v>102</v>
      </c>
      <c r="AG35" s="29" t="s">
        <v>101</v>
      </c>
      <c r="AH35" s="29" t="s">
        <v>100</v>
      </c>
      <c r="AI35" s="29" t="s">
        <v>102</v>
      </c>
      <c r="AJ35" s="29" t="s">
        <v>100</v>
      </c>
      <c r="AK35" s="29" t="s">
        <v>101</v>
      </c>
      <c r="AL35" s="29" t="s">
        <v>102</v>
      </c>
      <c r="AM35" s="29" t="s">
        <v>102</v>
      </c>
      <c r="AN35" s="29" t="s">
        <v>102</v>
      </c>
      <c r="AO35" s="29" t="s">
        <v>100</v>
      </c>
      <c r="AP35" s="29" t="s">
        <v>100</v>
      </c>
    </row>
    <row r="36" spans="1:42" ht="15.75">
      <c r="A36" s="71" t="s">
        <v>103</v>
      </c>
      <c r="B36" s="71" t="s">
        <v>104</v>
      </c>
      <c r="C36" s="7">
        <v>108</v>
      </c>
      <c r="D36" s="7">
        <v>108</v>
      </c>
      <c r="E36" s="7">
        <v>108</v>
      </c>
      <c r="F36" s="7">
        <v>108</v>
      </c>
      <c r="G36" s="7">
        <v>108</v>
      </c>
      <c r="H36" s="7"/>
      <c r="I36" s="7">
        <v>108</v>
      </c>
      <c r="J36" s="7">
        <v>108</v>
      </c>
      <c r="K36" s="29"/>
      <c r="L36" s="7">
        <v>108</v>
      </c>
      <c r="M36" s="7">
        <v>135</v>
      </c>
      <c r="N36" s="7">
        <v>135</v>
      </c>
      <c r="O36" s="7">
        <v>108</v>
      </c>
      <c r="P36" s="85">
        <v>270</v>
      </c>
      <c r="Q36" s="7">
        <v>108</v>
      </c>
      <c r="R36" s="7">
        <v>108</v>
      </c>
      <c r="S36" s="7">
        <v>108</v>
      </c>
      <c r="T36" s="29">
        <v>108</v>
      </c>
      <c r="U36" s="29">
        <v>108</v>
      </c>
      <c r="V36" s="29">
        <v>270</v>
      </c>
      <c r="W36" s="71"/>
      <c r="X36" s="29">
        <v>108</v>
      </c>
      <c r="Y36" s="29">
        <v>108</v>
      </c>
      <c r="Z36" s="29">
        <v>108</v>
      </c>
      <c r="AA36" s="29">
        <v>108</v>
      </c>
      <c r="AB36" s="29">
        <v>108</v>
      </c>
      <c r="AC36" s="29">
        <v>108</v>
      </c>
      <c r="AD36" s="29">
        <v>108</v>
      </c>
      <c r="AE36" s="29">
        <v>108</v>
      </c>
      <c r="AF36" s="29">
        <v>405</v>
      </c>
      <c r="AG36" s="29">
        <v>108</v>
      </c>
      <c r="AH36" s="29">
        <v>135</v>
      </c>
      <c r="AI36" s="29">
        <v>135</v>
      </c>
      <c r="AJ36" s="29">
        <v>108</v>
      </c>
      <c r="AK36" s="85">
        <v>270</v>
      </c>
      <c r="AL36" s="29">
        <v>108</v>
      </c>
      <c r="AM36" s="29">
        <v>108</v>
      </c>
      <c r="AN36" s="29">
        <v>108</v>
      </c>
      <c r="AO36" s="29">
        <v>108</v>
      </c>
      <c r="AP36" s="29">
        <v>108</v>
      </c>
    </row>
    <row r="37" spans="1:42" ht="15.75">
      <c r="A37" s="71" t="s">
        <v>20</v>
      </c>
      <c r="B37" s="71"/>
      <c r="C37" s="7" t="s">
        <v>80</v>
      </c>
      <c r="D37" s="7" t="s">
        <v>80</v>
      </c>
      <c r="E37" s="7" t="s">
        <v>80</v>
      </c>
      <c r="F37" s="7" t="s">
        <v>88</v>
      </c>
      <c r="G37" s="7" t="s">
        <v>80</v>
      </c>
      <c r="H37" s="7"/>
      <c r="I37" s="7" t="s">
        <v>88</v>
      </c>
      <c r="J37" s="7" t="s">
        <v>88</v>
      </c>
      <c r="K37" s="29"/>
      <c r="L37" s="7" t="s">
        <v>88</v>
      </c>
      <c r="M37" s="93" t="s">
        <v>80</v>
      </c>
      <c r="N37" s="93" t="s">
        <v>80</v>
      </c>
      <c r="O37" s="7" t="s">
        <v>80</v>
      </c>
      <c r="P37" s="29" t="s">
        <v>80</v>
      </c>
      <c r="Q37" s="93" t="s">
        <v>80</v>
      </c>
      <c r="R37" s="93" t="s">
        <v>80</v>
      </c>
      <c r="S37" s="7" t="s">
        <v>88</v>
      </c>
      <c r="T37" s="29" t="s">
        <v>80</v>
      </c>
      <c r="U37" s="29" t="s">
        <v>80</v>
      </c>
      <c r="V37" s="29" t="s">
        <v>80</v>
      </c>
      <c r="W37" s="71"/>
      <c r="X37" s="29" t="s">
        <v>80</v>
      </c>
      <c r="Y37" s="29" t="s">
        <v>80</v>
      </c>
      <c r="Z37" s="29" t="s">
        <v>80</v>
      </c>
      <c r="AA37" s="29" t="s">
        <v>88</v>
      </c>
      <c r="AB37" s="29" t="s">
        <v>80</v>
      </c>
      <c r="AC37" s="29" t="s">
        <v>80</v>
      </c>
      <c r="AD37" s="29" t="s">
        <v>88</v>
      </c>
      <c r="AE37" s="29" t="s">
        <v>88</v>
      </c>
      <c r="AF37" s="29" t="s">
        <v>80</v>
      </c>
      <c r="AG37" s="29" t="s">
        <v>88</v>
      </c>
      <c r="AH37" s="29" t="s">
        <v>80</v>
      </c>
      <c r="AI37" s="29" t="s">
        <v>80</v>
      </c>
      <c r="AJ37" s="29" t="s">
        <v>80</v>
      </c>
      <c r="AK37" s="29" t="s">
        <v>80</v>
      </c>
      <c r="AL37" s="29" t="s">
        <v>80</v>
      </c>
      <c r="AM37" s="29" t="s">
        <v>80</v>
      </c>
      <c r="AN37" s="29" t="s">
        <v>88</v>
      </c>
      <c r="AO37" s="29" t="s">
        <v>80</v>
      </c>
      <c r="AP37" s="29" t="s">
        <v>80</v>
      </c>
    </row>
    <row r="38" spans="1:42" ht="15.75">
      <c r="A38" s="71" t="s">
        <v>105</v>
      </c>
      <c r="B38" s="71"/>
      <c r="C38" s="105"/>
      <c r="D38" s="105"/>
      <c r="E38" s="105"/>
      <c r="F38" s="105">
        <v>0</v>
      </c>
      <c r="G38" s="105"/>
      <c r="H38" s="105"/>
      <c r="I38" s="105">
        <v>0</v>
      </c>
      <c r="J38" s="105">
        <v>0</v>
      </c>
      <c r="K38" s="80"/>
      <c r="L38" s="105">
        <v>0</v>
      </c>
      <c r="M38" s="80"/>
      <c r="N38" s="80"/>
      <c r="O38" s="80"/>
      <c r="P38" s="80"/>
      <c r="Q38" s="80"/>
      <c r="R38" s="80"/>
      <c r="S38" s="105">
        <v>0</v>
      </c>
      <c r="T38" s="84"/>
      <c r="U38" s="84"/>
      <c r="V38" s="84"/>
      <c r="W38" s="71"/>
      <c r="X38" s="78"/>
      <c r="Y38" s="78"/>
      <c r="Z38" s="78"/>
      <c r="AA38" s="79">
        <v>0</v>
      </c>
      <c r="AB38" s="78"/>
      <c r="AC38" s="78"/>
      <c r="AD38" s="79">
        <v>0</v>
      </c>
      <c r="AE38" s="79">
        <v>0</v>
      </c>
      <c r="AF38" s="80"/>
      <c r="AG38" s="79">
        <v>0</v>
      </c>
      <c r="AH38" s="80"/>
      <c r="AI38" s="80"/>
      <c r="AJ38" s="80"/>
      <c r="AK38" s="80"/>
      <c r="AL38" s="84"/>
      <c r="AM38" s="84"/>
      <c r="AN38" s="79">
        <v>0</v>
      </c>
      <c r="AO38" s="84"/>
      <c r="AP38" s="84"/>
    </row>
    <row r="39" spans="1:42" ht="15.75">
      <c r="A39" s="71" t="s">
        <v>106</v>
      </c>
      <c r="B39" s="71" t="s">
        <v>286</v>
      </c>
      <c r="C39" s="7"/>
      <c r="D39" s="7"/>
      <c r="E39" s="7"/>
      <c r="F39" s="7">
        <v>476000</v>
      </c>
      <c r="G39" s="7"/>
      <c r="H39" s="7"/>
      <c r="I39" s="7">
        <v>476000</v>
      </c>
      <c r="J39" s="7">
        <v>476000</v>
      </c>
      <c r="K39" s="80"/>
      <c r="L39" s="7">
        <v>476000</v>
      </c>
      <c r="M39" s="80"/>
      <c r="N39" s="80"/>
      <c r="O39" s="80"/>
      <c r="P39" s="80"/>
      <c r="Q39" s="80"/>
      <c r="R39" s="80"/>
      <c r="S39" s="7">
        <v>476000</v>
      </c>
      <c r="T39" s="84"/>
      <c r="U39" s="84"/>
      <c r="V39" s="84"/>
      <c r="W39" s="71"/>
      <c r="X39" s="80"/>
      <c r="Y39" s="80"/>
      <c r="Z39" s="80"/>
      <c r="AA39" s="29">
        <v>650000</v>
      </c>
      <c r="AB39" s="80"/>
      <c r="AC39" s="80"/>
      <c r="AD39" s="29">
        <v>650000</v>
      </c>
      <c r="AE39" s="29">
        <v>650000</v>
      </c>
      <c r="AF39" s="80"/>
      <c r="AG39" s="29">
        <v>650000</v>
      </c>
      <c r="AH39" s="80"/>
      <c r="AI39" s="80"/>
      <c r="AJ39" s="80"/>
      <c r="AK39" s="80"/>
      <c r="AL39" s="84"/>
      <c r="AM39" s="84"/>
      <c r="AN39" s="29">
        <v>650000</v>
      </c>
      <c r="AO39" s="84"/>
      <c r="AP39" s="84"/>
    </row>
    <row r="40" spans="1:42" ht="15.75">
      <c r="A40" s="71" t="s">
        <v>107</v>
      </c>
      <c r="B40" s="71"/>
      <c r="C40" s="7"/>
      <c r="D40" s="7"/>
      <c r="E40" s="7"/>
      <c r="F40" s="7">
        <v>56</v>
      </c>
      <c r="G40" s="7"/>
      <c r="H40" s="7"/>
      <c r="I40" s="7">
        <v>56</v>
      </c>
      <c r="J40" s="7">
        <v>56</v>
      </c>
      <c r="K40" s="80"/>
      <c r="L40" s="7">
        <v>56</v>
      </c>
      <c r="M40" s="80"/>
      <c r="N40" s="80"/>
      <c r="O40" s="80"/>
      <c r="P40" s="80"/>
      <c r="Q40" s="80"/>
      <c r="R40" s="80"/>
      <c r="S40" s="7">
        <v>56</v>
      </c>
      <c r="T40" s="84"/>
      <c r="U40" s="84"/>
      <c r="V40" s="84"/>
      <c r="W40" s="71"/>
      <c r="X40" s="80"/>
      <c r="Y40" s="80"/>
      <c r="Z40" s="80"/>
      <c r="AA40" s="29">
        <v>6</v>
      </c>
      <c r="AB40" s="80"/>
      <c r="AC40" s="80"/>
      <c r="AD40" s="29">
        <v>6</v>
      </c>
      <c r="AE40" s="29">
        <v>6</v>
      </c>
      <c r="AF40" s="80"/>
      <c r="AG40" s="29">
        <v>6</v>
      </c>
      <c r="AH40" s="80"/>
      <c r="AI40" s="80"/>
      <c r="AJ40" s="80"/>
      <c r="AK40" s="80"/>
      <c r="AL40" s="84"/>
      <c r="AM40" s="84"/>
      <c r="AN40" s="29">
        <v>6</v>
      </c>
      <c r="AO40" s="84"/>
      <c r="AP40" s="84"/>
    </row>
    <row r="41" spans="1:42" ht="15.75">
      <c r="A41" s="71" t="s">
        <v>108</v>
      </c>
      <c r="C41" s="106"/>
      <c r="D41" s="106"/>
      <c r="E41" s="106"/>
      <c r="F41" s="106">
        <v>10</v>
      </c>
      <c r="G41" s="106"/>
      <c r="H41" s="106"/>
      <c r="I41" s="106">
        <v>10</v>
      </c>
      <c r="J41" s="106">
        <v>10</v>
      </c>
      <c r="K41" s="81"/>
      <c r="L41" s="106">
        <v>10</v>
      </c>
      <c r="M41" s="80"/>
      <c r="N41" s="80"/>
      <c r="O41" s="80"/>
      <c r="P41" s="81"/>
      <c r="Q41" s="81"/>
      <c r="R41" s="81"/>
      <c r="S41" s="106">
        <v>10</v>
      </c>
      <c r="T41" s="84"/>
      <c r="U41" s="84"/>
      <c r="V41" s="84"/>
      <c r="W41" s="51"/>
      <c r="X41" s="81"/>
      <c r="Y41" s="81"/>
      <c r="Z41" s="81"/>
      <c r="AA41" s="82">
        <v>10</v>
      </c>
      <c r="AB41" s="81"/>
      <c r="AC41" s="81"/>
      <c r="AD41" s="82">
        <v>10</v>
      </c>
      <c r="AE41" s="82">
        <v>10</v>
      </c>
      <c r="AF41" s="81"/>
      <c r="AG41" s="82">
        <v>10</v>
      </c>
      <c r="AH41" s="81"/>
      <c r="AI41" s="81"/>
      <c r="AJ41" s="81"/>
      <c r="AK41" s="81"/>
      <c r="AL41" s="84"/>
      <c r="AM41" s="84"/>
      <c r="AN41" s="82">
        <v>10</v>
      </c>
      <c r="AO41" s="84"/>
      <c r="AP41" s="84"/>
    </row>
    <row r="42" spans="1:42" ht="15.75">
      <c r="A42" s="71" t="s">
        <v>109</v>
      </c>
      <c r="B42" s="71"/>
      <c r="C42" s="105"/>
      <c r="D42" s="105"/>
      <c r="E42" s="105"/>
      <c r="F42" s="105">
        <v>1</v>
      </c>
      <c r="G42" s="105"/>
      <c r="H42" s="105"/>
      <c r="I42" s="105">
        <v>1</v>
      </c>
      <c r="J42" s="105">
        <v>1</v>
      </c>
      <c r="K42" s="78"/>
      <c r="L42" s="105">
        <v>1</v>
      </c>
      <c r="M42" s="80"/>
      <c r="N42" s="80"/>
      <c r="O42" s="80"/>
      <c r="P42" s="78"/>
      <c r="Q42" s="78"/>
      <c r="R42" s="78"/>
      <c r="S42" s="105">
        <v>1</v>
      </c>
      <c r="T42" s="84"/>
      <c r="U42" s="84"/>
      <c r="V42" s="84"/>
      <c r="W42" s="71"/>
      <c r="X42" s="78"/>
      <c r="Y42" s="78"/>
      <c r="Z42" s="78"/>
      <c r="AA42" s="79">
        <v>1</v>
      </c>
      <c r="AB42" s="78"/>
      <c r="AC42" s="78"/>
      <c r="AD42" s="79">
        <v>1</v>
      </c>
      <c r="AE42" s="79">
        <v>1</v>
      </c>
      <c r="AF42" s="78"/>
      <c r="AG42" s="79">
        <v>1</v>
      </c>
      <c r="AH42" s="78"/>
      <c r="AI42" s="78"/>
      <c r="AJ42" s="78"/>
      <c r="AK42" s="78"/>
      <c r="AL42" s="84"/>
      <c r="AM42" s="84"/>
      <c r="AN42" s="79">
        <v>1</v>
      </c>
      <c r="AO42" s="84"/>
      <c r="AP42" s="84"/>
    </row>
    <row r="43" spans="1:42" ht="15.75">
      <c r="A43" s="71" t="s">
        <v>110</v>
      </c>
      <c r="B43" s="71"/>
      <c r="C43" s="105"/>
      <c r="D43" s="105"/>
      <c r="E43" s="105"/>
      <c r="F43" s="109" t="s">
        <v>113</v>
      </c>
      <c r="G43" s="105"/>
      <c r="H43" s="105"/>
      <c r="I43" s="109" t="s">
        <v>113</v>
      </c>
      <c r="J43" s="109" t="s">
        <v>113</v>
      </c>
      <c r="K43" s="78"/>
      <c r="L43" s="109" t="s">
        <v>113</v>
      </c>
      <c r="M43" s="80"/>
      <c r="N43" s="80"/>
      <c r="O43" s="80"/>
      <c r="P43" s="78"/>
      <c r="Q43" s="78"/>
      <c r="R43" s="78"/>
      <c r="S43" s="109" t="s">
        <v>113</v>
      </c>
      <c r="T43" s="84"/>
      <c r="U43" s="84"/>
      <c r="V43" s="84"/>
      <c r="W43" s="71"/>
      <c r="X43" s="78"/>
      <c r="Y43" s="78"/>
      <c r="Z43" s="78"/>
      <c r="AA43" s="79" t="s">
        <v>287</v>
      </c>
      <c r="AB43" s="78"/>
      <c r="AC43" s="78"/>
      <c r="AD43" s="79" t="s">
        <v>287</v>
      </c>
      <c r="AE43" s="79" t="s">
        <v>287</v>
      </c>
      <c r="AF43" s="78"/>
      <c r="AG43" s="79" t="s">
        <v>287</v>
      </c>
      <c r="AH43" s="78"/>
      <c r="AI43" s="78"/>
      <c r="AJ43" s="78"/>
      <c r="AK43" s="78"/>
      <c r="AL43" s="84"/>
      <c r="AM43" s="84"/>
      <c r="AN43" s="79" t="s">
        <v>287</v>
      </c>
      <c r="AO43" s="84"/>
      <c r="AP43" s="84"/>
    </row>
    <row r="44" spans="1:42" ht="31.5">
      <c r="A44" s="71" t="s">
        <v>118</v>
      </c>
      <c r="B44" s="83" t="s">
        <v>119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/>
      <c r="I44" s="7">
        <v>0</v>
      </c>
      <c r="J44" s="7">
        <v>0</v>
      </c>
      <c r="K44" s="29"/>
      <c r="L44" s="7">
        <v>0</v>
      </c>
      <c r="M44" s="7">
        <v>0</v>
      </c>
      <c r="N44" s="7">
        <v>0</v>
      </c>
      <c r="O44" s="7">
        <v>1</v>
      </c>
      <c r="P44" s="85">
        <v>0</v>
      </c>
      <c r="Q44" s="7">
        <v>0</v>
      </c>
      <c r="R44" s="7">
        <v>0</v>
      </c>
      <c r="S44" s="7">
        <v>0</v>
      </c>
      <c r="T44" s="29">
        <v>0</v>
      </c>
      <c r="U44" s="29">
        <v>0</v>
      </c>
      <c r="V44" s="29">
        <v>0</v>
      </c>
      <c r="W44" s="83"/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1</v>
      </c>
      <c r="AK44" s="85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</row>
    <row r="45" spans="1:42" ht="15.75">
      <c r="A45" s="71" t="s">
        <v>120</v>
      </c>
      <c r="B45" s="83"/>
      <c r="C45" s="7">
        <v>5</v>
      </c>
      <c r="D45" s="7">
        <v>5</v>
      </c>
      <c r="E45" s="7">
        <v>3</v>
      </c>
      <c r="F45" s="7">
        <v>9</v>
      </c>
      <c r="G45" s="7">
        <v>5</v>
      </c>
      <c r="H45" s="7"/>
      <c r="I45" s="7">
        <v>9</v>
      </c>
      <c r="J45" s="7">
        <v>9</v>
      </c>
      <c r="K45" s="29"/>
      <c r="L45" s="7">
        <v>9</v>
      </c>
      <c r="M45" s="7">
        <v>86</v>
      </c>
      <c r="N45" s="7">
        <v>19</v>
      </c>
      <c r="O45" s="7">
        <v>5</v>
      </c>
      <c r="P45" s="85">
        <v>2</v>
      </c>
      <c r="Q45" s="7">
        <v>8</v>
      </c>
      <c r="R45" s="7">
        <v>9</v>
      </c>
      <c r="S45" s="7">
        <v>8</v>
      </c>
      <c r="T45" s="29">
        <v>4</v>
      </c>
      <c r="U45" s="29">
        <v>4</v>
      </c>
      <c r="V45" s="29">
        <v>2</v>
      </c>
      <c r="W45" s="83"/>
      <c r="X45" s="29">
        <v>5</v>
      </c>
      <c r="Y45" s="29">
        <v>5</v>
      </c>
      <c r="Z45" s="29">
        <v>3</v>
      </c>
      <c r="AA45" s="29">
        <v>9</v>
      </c>
      <c r="AB45" s="29">
        <v>5</v>
      </c>
      <c r="AC45" s="29">
        <v>3</v>
      </c>
      <c r="AD45" s="29">
        <v>9</v>
      </c>
      <c r="AE45" s="29">
        <v>9</v>
      </c>
      <c r="AF45" s="29">
        <v>7</v>
      </c>
      <c r="AG45" s="29">
        <v>9</v>
      </c>
      <c r="AH45" s="29">
        <v>87</v>
      </c>
      <c r="AI45" s="29">
        <v>19</v>
      </c>
      <c r="AJ45" s="29">
        <v>5</v>
      </c>
      <c r="AK45" s="85">
        <v>2</v>
      </c>
      <c r="AL45" s="29">
        <v>9</v>
      </c>
      <c r="AM45" s="29">
        <v>9</v>
      </c>
      <c r="AN45" s="29">
        <v>9</v>
      </c>
      <c r="AO45" s="29">
        <v>4</v>
      </c>
      <c r="AP45" s="29">
        <v>4</v>
      </c>
    </row>
    <row r="46" spans="1:42" ht="15.75">
      <c r="A46" s="71" t="s">
        <v>121</v>
      </c>
      <c r="B46" s="83"/>
      <c r="C46" s="7">
        <v>1</v>
      </c>
      <c r="D46" s="7">
        <v>1</v>
      </c>
      <c r="E46" s="7">
        <v>1</v>
      </c>
      <c r="F46" s="7">
        <v>1</v>
      </c>
      <c r="G46" s="7">
        <v>1</v>
      </c>
      <c r="H46" s="7"/>
      <c r="I46" s="7">
        <v>1</v>
      </c>
      <c r="J46" s="7">
        <v>1</v>
      </c>
      <c r="K46" s="29"/>
      <c r="L46" s="7">
        <v>1</v>
      </c>
      <c r="M46" s="7">
        <v>1</v>
      </c>
      <c r="N46" s="7">
        <v>1</v>
      </c>
      <c r="O46" s="7">
        <v>1</v>
      </c>
      <c r="P46" s="85">
        <v>1</v>
      </c>
      <c r="Q46" s="7">
        <v>1</v>
      </c>
      <c r="R46" s="7">
        <v>1</v>
      </c>
      <c r="S46" s="7">
        <v>1</v>
      </c>
      <c r="T46" s="29">
        <v>1</v>
      </c>
      <c r="U46" s="29">
        <v>1</v>
      </c>
      <c r="V46" s="29">
        <v>1</v>
      </c>
      <c r="W46" s="83"/>
      <c r="X46" s="29">
        <v>1</v>
      </c>
      <c r="Y46" s="29">
        <v>1</v>
      </c>
      <c r="Z46" s="29">
        <v>1</v>
      </c>
      <c r="AA46" s="29">
        <v>1</v>
      </c>
      <c r="AB46" s="29">
        <v>1</v>
      </c>
      <c r="AC46" s="29">
        <v>1</v>
      </c>
      <c r="AD46" s="29">
        <v>1</v>
      </c>
      <c r="AE46" s="29">
        <v>1</v>
      </c>
      <c r="AF46" s="29">
        <v>1</v>
      </c>
      <c r="AG46" s="29">
        <v>1</v>
      </c>
      <c r="AH46" s="29">
        <v>1</v>
      </c>
      <c r="AI46" s="29">
        <v>1</v>
      </c>
      <c r="AJ46" s="29">
        <v>1</v>
      </c>
      <c r="AK46" s="85">
        <v>1</v>
      </c>
      <c r="AL46" s="29">
        <v>1</v>
      </c>
      <c r="AM46" s="29">
        <v>1</v>
      </c>
      <c r="AN46" s="29">
        <v>1</v>
      </c>
      <c r="AO46" s="29">
        <v>1</v>
      </c>
      <c r="AP46" s="29">
        <v>1</v>
      </c>
    </row>
    <row r="47" spans="1:42" ht="15.75">
      <c r="A47" s="71" t="s">
        <v>122</v>
      </c>
      <c r="B47" s="83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/>
      <c r="I47" s="7">
        <v>0</v>
      </c>
      <c r="J47" s="7">
        <v>0</v>
      </c>
      <c r="K47" s="29"/>
      <c r="L47" s="7">
        <v>0</v>
      </c>
      <c r="M47" s="7">
        <v>0</v>
      </c>
      <c r="N47" s="7">
        <v>0</v>
      </c>
      <c r="O47" s="7">
        <v>0</v>
      </c>
      <c r="P47" s="85">
        <v>0</v>
      </c>
      <c r="Q47" s="7">
        <v>0</v>
      </c>
      <c r="R47" s="7">
        <v>0</v>
      </c>
      <c r="S47" s="7">
        <v>0</v>
      </c>
      <c r="T47" s="29">
        <v>0</v>
      </c>
      <c r="U47" s="29">
        <v>0</v>
      </c>
      <c r="V47" s="29">
        <v>0</v>
      </c>
      <c r="W47" s="83"/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5</v>
      </c>
      <c r="AG47" s="29">
        <v>0</v>
      </c>
      <c r="AH47" s="29">
        <v>0</v>
      </c>
      <c r="AI47" s="29">
        <v>0</v>
      </c>
      <c r="AJ47" s="29">
        <v>0</v>
      </c>
      <c r="AK47" s="85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</row>
    <row r="48" spans="1:42" ht="15.75">
      <c r="A48" s="71" t="s">
        <v>288</v>
      </c>
      <c r="B48" s="83"/>
      <c r="C48" s="84"/>
      <c r="D48" s="84"/>
      <c r="E48" s="84"/>
      <c r="F48" s="84"/>
      <c r="G48" s="84"/>
      <c r="H48" s="84"/>
      <c r="I48" s="84"/>
      <c r="J48" s="84"/>
      <c r="K48" s="29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3"/>
      <c r="X48" s="84"/>
      <c r="Y48" s="84"/>
      <c r="Z48" s="84"/>
      <c r="AA48" s="84"/>
      <c r="AB48" s="84"/>
      <c r="AC48" s="84"/>
      <c r="AD48" s="84"/>
      <c r="AE48" s="84"/>
      <c r="AF48" s="29">
        <v>11111111</v>
      </c>
      <c r="AG48" s="84"/>
      <c r="AH48" s="84"/>
      <c r="AI48" s="84"/>
      <c r="AJ48" s="84"/>
      <c r="AK48" s="84"/>
      <c r="AL48" s="84"/>
      <c r="AM48" s="84"/>
      <c r="AN48" s="84"/>
      <c r="AO48" s="84"/>
      <c r="AP48" s="84"/>
    </row>
    <row r="49" spans="1:42" ht="15.75">
      <c r="A49" s="71" t="s">
        <v>289</v>
      </c>
      <c r="B49" s="83"/>
      <c r="C49" s="84"/>
      <c r="D49" s="84"/>
      <c r="E49" s="84"/>
      <c r="F49" s="84"/>
      <c r="G49" s="84"/>
      <c r="H49" s="84"/>
      <c r="I49" s="84"/>
      <c r="J49" s="84"/>
      <c r="K49" s="29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3"/>
      <c r="X49" s="84"/>
      <c r="Y49" s="84"/>
      <c r="Z49" s="84"/>
      <c r="AA49" s="84"/>
      <c r="AB49" s="84"/>
      <c r="AC49" s="84"/>
      <c r="AD49" s="84"/>
      <c r="AE49" s="84"/>
      <c r="AF49" s="29">
        <v>1111</v>
      </c>
      <c r="AG49" s="84"/>
      <c r="AH49" s="84"/>
      <c r="AI49" s="84"/>
      <c r="AJ49" s="84"/>
      <c r="AK49" s="84"/>
      <c r="AL49" s="84"/>
      <c r="AM49" s="84"/>
      <c r="AN49" s="84"/>
      <c r="AO49" s="84"/>
      <c r="AP49" s="84"/>
    </row>
    <row r="50" spans="1:42" ht="15.75">
      <c r="A50" s="71" t="s">
        <v>290</v>
      </c>
      <c r="B50" s="83"/>
      <c r="C50" s="84"/>
      <c r="D50" s="84"/>
      <c r="E50" s="84"/>
      <c r="F50" s="84"/>
      <c r="G50" s="84"/>
      <c r="H50" s="84"/>
      <c r="I50" s="84"/>
      <c r="J50" s="84"/>
      <c r="K50" s="29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3"/>
      <c r="X50" s="84"/>
      <c r="Y50" s="84"/>
      <c r="Z50" s="84"/>
      <c r="AA50" s="84"/>
      <c r="AB50" s="84"/>
      <c r="AC50" s="84"/>
      <c r="AD50" s="84"/>
      <c r="AE50" s="84"/>
      <c r="AF50" s="29" t="s">
        <v>291</v>
      </c>
      <c r="AG50" s="84"/>
      <c r="AH50" s="84"/>
      <c r="AI50" s="84"/>
      <c r="AJ50" s="84"/>
      <c r="AK50" s="84"/>
      <c r="AL50" s="84"/>
      <c r="AM50" s="84"/>
      <c r="AN50" s="84"/>
      <c r="AO50" s="84"/>
      <c r="AP50" s="84"/>
    </row>
    <row r="51" spans="1:42" ht="15.75">
      <c r="A51" s="71" t="s">
        <v>292</v>
      </c>
      <c r="B51" s="83"/>
      <c r="C51" s="84"/>
      <c r="D51" s="84"/>
      <c r="E51" s="84"/>
      <c r="F51" s="84"/>
      <c r="G51" s="84"/>
      <c r="H51" s="84"/>
      <c r="I51" s="84"/>
      <c r="J51" s="84"/>
      <c r="K51" s="29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3"/>
      <c r="X51" s="84"/>
      <c r="Y51" s="84"/>
      <c r="Z51" s="84"/>
      <c r="AA51" s="84"/>
      <c r="AB51" s="84"/>
      <c r="AC51" s="84"/>
      <c r="AD51" s="84"/>
      <c r="AE51" s="84"/>
      <c r="AF51" s="29" t="s">
        <v>293</v>
      </c>
      <c r="AG51" s="84"/>
      <c r="AH51" s="84"/>
      <c r="AI51" s="84"/>
      <c r="AJ51" s="84"/>
      <c r="AK51" s="84"/>
      <c r="AL51" s="84"/>
      <c r="AM51" s="84"/>
      <c r="AN51" s="84"/>
      <c r="AO51" s="84"/>
      <c r="AP51" s="84"/>
    </row>
    <row r="52" spans="1:42" ht="15.75">
      <c r="A52" s="71" t="s">
        <v>127</v>
      </c>
      <c r="B52" s="83"/>
      <c r="C52" s="29" t="s">
        <v>129</v>
      </c>
      <c r="D52" s="29" t="s">
        <v>129</v>
      </c>
      <c r="E52" s="29" t="s">
        <v>129</v>
      </c>
      <c r="F52" s="29" t="s">
        <v>129</v>
      </c>
      <c r="G52" s="29" t="s">
        <v>129</v>
      </c>
      <c r="H52" s="29" t="s">
        <v>129</v>
      </c>
      <c r="I52" s="29" t="s">
        <v>129</v>
      </c>
      <c r="J52" s="29" t="s">
        <v>129</v>
      </c>
      <c r="K52" s="29"/>
      <c r="L52" s="29" t="s">
        <v>129</v>
      </c>
      <c r="M52" s="29" t="s">
        <v>129</v>
      </c>
      <c r="N52" s="29" t="s">
        <v>129</v>
      </c>
      <c r="O52" s="29" t="s">
        <v>129</v>
      </c>
      <c r="P52" s="29" t="s">
        <v>129</v>
      </c>
      <c r="Q52" s="29" t="s">
        <v>129</v>
      </c>
      <c r="R52" s="29" t="s">
        <v>129</v>
      </c>
      <c r="S52" s="29" t="s">
        <v>129</v>
      </c>
      <c r="T52" s="29" t="s">
        <v>129</v>
      </c>
      <c r="U52" s="29" t="s">
        <v>129</v>
      </c>
      <c r="V52" s="29" t="s">
        <v>129</v>
      </c>
      <c r="W52" s="83"/>
      <c r="X52" s="29" t="s">
        <v>129</v>
      </c>
      <c r="Y52" s="29" t="s">
        <v>129</v>
      </c>
      <c r="Z52" s="29" t="s">
        <v>129</v>
      </c>
      <c r="AA52" s="29" t="s">
        <v>129</v>
      </c>
      <c r="AB52" s="29" t="s">
        <v>129</v>
      </c>
      <c r="AC52" s="29" t="s">
        <v>129</v>
      </c>
      <c r="AD52" s="29" t="s">
        <v>129</v>
      </c>
      <c r="AE52" s="29" t="s">
        <v>129</v>
      </c>
      <c r="AF52" s="29" t="s">
        <v>129</v>
      </c>
      <c r="AG52" s="29" t="s">
        <v>129</v>
      </c>
      <c r="AH52" s="29" t="s">
        <v>129</v>
      </c>
      <c r="AI52" s="29" t="s">
        <v>129</v>
      </c>
      <c r="AJ52" s="29" t="s">
        <v>129</v>
      </c>
      <c r="AK52" s="29" t="s">
        <v>129</v>
      </c>
      <c r="AL52" s="29" t="s">
        <v>129</v>
      </c>
      <c r="AM52" s="29" t="s">
        <v>129</v>
      </c>
      <c r="AN52" s="29" t="s">
        <v>129</v>
      </c>
      <c r="AO52" s="29" t="s">
        <v>129</v>
      </c>
      <c r="AP52" s="29" t="s">
        <v>129</v>
      </c>
    </row>
    <row r="53" spans="1:42" ht="15.75">
      <c r="A53" s="71" t="s">
        <v>130</v>
      </c>
      <c r="B53" s="83"/>
      <c r="C53" s="29" t="s">
        <v>294</v>
      </c>
      <c r="D53" s="29" t="s">
        <v>294</v>
      </c>
      <c r="E53" s="29" t="s">
        <v>294</v>
      </c>
      <c r="F53" s="29" t="s">
        <v>294</v>
      </c>
      <c r="G53" s="29" t="s">
        <v>294</v>
      </c>
      <c r="H53" s="29" t="s">
        <v>294</v>
      </c>
      <c r="I53" s="29">
        <v>3</v>
      </c>
      <c r="J53" s="29">
        <v>3</v>
      </c>
      <c r="K53" s="29"/>
      <c r="L53" s="29">
        <v>3</v>
      </c>
      <c r="M53" s="29">
        <v>3.55</v>
      </c>
      <c r="N53" s="29">
        <v>3.55</v>
      </c>
      <c r="O53" s="29" t="s">
        <v>294</v>
      </c>
      <c r="P53" s="29" t="s">
        <v>294</v>
      </c>
      <c r="Q53" s="29" t="s">
        <v>294</v>
      </c>
      <c r="R53" s="29" t="s">
        <v>294</v>
      </c>
      <c r="S53" s="29" t="s">
        <v>294</v>
      </c>
      <c r="T53" s="29" t="s">
        <v>294</v>
      </c>
      <c r="U53" s="29" t="s">
        <v>294</v>
      </c>
      <c r="V53" s="29" t="s">
        <v>294</v>
      </c>
      <c r="W53" s="83"/>
      <c r="X53" s="29" t="s">
        <v>294</v>
      </c>
      <c r="Y53" s="29" t="s">
        <v>294</v>
      </c>
      <c r="Z53" s="29" t="s">
        <v>294</v>
      </c>
      <c r="AA53" s="29" t="s">
        <v>294</v>
      </c>
      <c r="AB53" s="29" t="s">
        <v>294</v>
      </c>
      <c r="AC53" s="29" t="s">
        <v>294</v>
      </c>
      <c r="AD53" s="29">
        <v>3</v>
      </c>
      <c r="AE53" s="29">
        <v>3</v>
      </c>
      <c r="AF53" s="29">
        <v>3</v>
      </c>
      <c r="AG53" s="29">
        <v>3</v>
      </c>
      <c r="AH53" s="29">
        <v>3.55</v>
      </c>
      <c r="AI53" s="29">
        <v>3.55</v>
      </c>
      <c r="AJ53" s="29" t="s">
        <v>294</v>
      </c>
      <c r="AK53" s="29" t="s">
        <v>294</v>
      </c>
      <c r="AL53" s="29" t="s">
        <v>294</v>
      </c>
      <c r="AM53" s="29" t="s">
        <v>294</v>
      </c>
      <c r="AN53" s="29" t="s">
        <v>294</v>
      </c>
      <c r="AO53" s="29" t="s">
        <v>294</v>
      </c>
      <c r="AP53" s="29" t="s">
        <v>294</v>
      </c>
    </row>
    <row r="54" spans="1:42" ht="15.75">
      <c r="A54" s="71" t="s">
        <v>295</v>
      </c>
      <c r="B54" s="83"/>
      <c r="C54" s="29" t="s">
        <v>89</v>
      </c>
      <c r="D54" s="29" t="s">
        <v>89</v>
      </c>
      <c r="E54" s="29" t="s">
        <v>89</v>
      </c>
      <c r="F54" s="29" t="s">
        <v>89</v>
      </c>
      <c r="G54" s="29" t="s">
        <v>89</v>
      </c>
      <c r="H54" s="29" t="s">
        <v>89</v>
      </c>
      <c r="I54" s="29" t="s">
        <v>89</v>
      </c>
      <c r="J54" s="29" t="s">
        <v>88</v>
      </c>
      <c r="K54" s="29"/>
      <c r="L54" s="29" t="s">
        <v>89</v>
      </c>
      <c r="M54" s="29" t="s">
        <v>89</v>
      </c>
      <c r="N54" s="29" t="s">
        <v>89</v>
      </c>
      <c r="O54" s="29" t="s">
        <v>89</v>
      </c>
      <c r="P54" s="29" t="s">
        <v>89</v>
      </c>
      <c r="Q54" s="29" t="s">
        <v>89</v>
      </c>
      <c r="R54" s="29" t="s">
        <v>89</v>
      </c>
      <c r="S54" s="29" t="s">
        <v>89</v>
      </c>
      <c r="T54" s="29" t="s">
        <v>89</v>
      </c>
      <c r="U54" s="29" t="s">
        <v>89</v>
      </c>
      <c r="V54" s="29" t="s">
        <v>89</v>
      </c>
      <c r="W54" s="83"/>
      <c r="X54" s="29" t="s">
        <v>89</v>
      </c>
      <c r="Y54" s="29" t="s">
        <v>89</v>
      </c>
      <c r="Z54" s="29" t="s">
        <v>89</v>
      </c>
      <c r="AA54" s="29" t="s">
        <v>89</v>
      </c>
      <c r="AB54" s="29" t="s">
        <v>89</v>
      </c>
      <c r="AC54" s="29" t="s">
        <v>89</v>
      </c>
      <c r="AD54" s="29" t="s">
        <v>89</v>
      </c>
      <c r="AE54" s="29" t="s">
        <v>88</v>
      </c>
      <c r="AF54" s="29" t="s">
        <v>89</v>
      </c>
      <c r="AG54" s="29" t="s">
        <v>89</v>
      </c>
      <c r="AH54" s="29" t="s">
        <v>89</v>
      </c>
      <c r="AI54" s="29" t="s">
        <v>89</v>
      </c>
      <c r="AJ54" s="29" t="s">
        <v>89</v>
      </c>
      <c r="AK54" s="29" t="s">
        <v>89</v>
      </c>
      <c r="AL54" s="29" t="s">
        <v>89</v>
      </c>
      <c r="AM54" s="29" t="s">
        <v>89</v>
      </c>
      <c r="AN54" s="29" t="s">
        <v>89</v>
      </c>
      <c r="AO54" s="29" t="s">
        <v>89</v>
      </c>
      <c r="AP54" s="29" t="s">
        <v>89</v>
      </c>
    </row>
    <row r="55" spans="1:42" ht="15.75">
      <c r="A55" s="71" t="s">
        <v>296</v>
      </c>
      <c r="B55" s="83"/>
      <c r="C55" s="80"/>
      <c r="D55" s="80"/>
      <c r="E55" s="80"/>
      <c r="F55" s="80"/>
      <c r="G55" s="80"/>
      <c r="H55" s="80"/>
      <c r="I55" s="84"/>
      <c r="J55" s="29">
        <v>11111111</v>
      </c>
      <c r="K55" s="84"/>
      <c r="L55" s="84"/>
      <c r="M55" s="80"/>
      <c r="N55" s="80"/>
      <c r="O55" s="84"/>
      <c r="P55" s="84"/>
      <c r="Q55" s="80"/>
      <c r="R55" s="80"/>
      <c r="S55" s="80"/>
      <c r="T55" s="80"/>
      <c r="U55" s="80"/>
      <c r="V55" s="80"/>
      <c r="W55" s="83"/>
      <c r="X55" s="80"/>
      <c r="Y55" s="80"/>
      <c r="Z55" s="80"/>
      <c r="AA55" s="80"/>
      <c r="AB55" s="80"/>
      <c r="AC55" s="80"/>
      <c r="AD55" s="84"/>
      <c r="AE55" s="29">
        <v>11111111</v>
      </c>
      <c r="AF55" s="84"/>
      <c r="AG55" s="84"/>
      <c r="AH55" s="84"/>
      <c r="AI55" s="84"/>
      <c r="AJ55" s="84"/>
      <c r="AK55" s="84"/>
      <c r="AL55" s="80"/>
      <c r="AM55" s="80"/>
      <c r="AN55" s="80"/>
      <c r="AO55" s="80"/>
      <c r="AP55" s="80"/>
    </row>
    <row r="56" spans="1:42" ht="15.75">
      <c r="A56" s="71" t="s">
        <v>297</v>
      </c>
      <c r="B56" s="83"/>
      <c r="C56" s="80"/>
      <c r="D56" s="80"/>
      <c r="E56" s="80"/>
      <c r="F56" s="80"/>
      <c r="G56" s="80"/>
      <c r="H56" s="80"/>
      <c r="I56" s="84"/>
      <c r="J56" s="29">
        <v>545</v>
      </c>
      <c r="K56" s="84"/>
      <c r="L56" s="84"/>
      <c r="M56" s="80"/>
      <c r="N56" s="80"/>
      <c r="O56" s="84"/>
      <c r="P56" s="84"/>
      <c r="Q56" s="80"/>
      <c r="R56" s="80"/>
      <c r="S56" s="80"/>
      <c r="T56" s="80"/>
      <c r="U56" s="80"/>
      <c r="V56" s="80"/>
      <c r="W56" s="83"/>
      <c r="X56" s="80"/>
      <c r="Y56" s="80"/>
      <c r="Z56" s="80"/>
      <c r="AA56" s="80"/>
      <c r="AB56" s="80"/>
      <c r="AC56" s="80"/>
      <c r="AD56" s="84"/>
      <c r="AE56" s="29">
        <v>545</v>
      </c>
      <c r="AF56" s="84"/>
      <c r="AG56" s="84"/>
      <c r="AH56" s="84"/>
      <c r="AI56" s="84"/>
      <c r="AJ56" s="84"/>
      <c r="AK56" s="84"/>
      <c r="AL56" s="80"/>
      <c r="AM56" s="80"/>
      <c r="AN56" s="80"/>
      <c r="AO56" s="80"/>
      <c r="AP56" s="80"/>
    </row>
    <row r="57" spans="1:42" ht="15.75">
      <c r="A57" s="71" t="s">
        <v>298</v>
      </c>
      <c r="B57" s="83"/>
      <c r="C57" s="29" t="s">
        <v>89</v>
      </c>
      <c r="D57" s="29" t="s">
        <v>89</v>
      </c>
      <c r="E57" s="29" t="s">
        <v>89</v>
      </c>
      <c r="F57" s="29" t="s">
        <v>89</v>
      </c>
      <c r="G57" s="29" t="s">
        <v>89</v>
      </c>
      <c r="H57" s="29" t="s">
        <v>89</v>
      </c>
      <c r="I57" s="29" t="s">
        <v>89</v>
      </c>
      <c r="J57" s="29" t="s">
        <v>89</v>
      </c>
      <c r="K57" s="29"/>
      <c r="L57" s="29" t="s">
        <v>88</v>
      </c>
      <c r="M57" s="29" t="s">
        <v>89</v>
      </c>
      <c r="N57" s="29" t="s">
        <v>88</v>
      </c>
      <c r="O57" s="29" t="s">
        <v>89</v>
      </c>
      <c r="P57" s="29" t="s">
        <v>89</v>
      </c>
      <c r="Q57" s="29" t="s">
        <v>89</v>
      </c>
      <c r="R57" s="29" t="s">
        <v>89</v>
      </c>
      <c r="S57" s="29" t="s">
        <v>89</v>
      </c>
      <c r="T57" s="29" t="s">
        <v>89</v>
      </c>
      <c r="U57" s="29" t="s">
        <v>89</v>
      </c>
      <c r="V57" s="29" t="s">
        <v>89</v>
      </c>
      <c r="W57" s="83"/>
      <c r="X57" s="29" t="s">
        <v>89</v>
      </c>
      <c r="Y57" s="29" t="s">
        <v>89</v>
      </c>
      <c r="Z57" s="29" t="s">
        <v>89</v>
      </c>
      <c r="AA57" s="29" t="s">
        <v>89</v>
      </c>
      <c r="AB57" s="29" t="s">
        <v>89</v>
      </c>
      <c r="AC57" s="29" t="s">
        <v>89</v>
      </c>
      <c r="AD57" s="29" t="s">
        <v>89</v>
      </c>
      <c r="AE57" s="29" t="s">
        <v>89</v>
      </c>
      <c r="AF57" s="29" t="s">
        <v>89</v>
      </c>
      <c r="AG57" s="29" t="s">
        <v>88</v>
      </c>
      <c r="AH57" s="29" t="s">
        <v>89</v>
      </c>
      <c r="AI57" s="29" t="s">
        <v>88</v>
      </c>
      <c r="AJ57" s="29" t="s">
        <v>89</v>
      </c>
      <c r="AK57" s="29" t="s">
        <v>89</v>
      </c>
      <c r="AL57" s="29" t="s">
        <v>89</v>
      </c>
      <c r="AM57" s="29" t="s">
        <v>89</v>
      </c>
      <c r="AN57" s="29" t="s">
        <v>89</v>
      </c>
      <c r="AO57" s="29" t="s">
        <v>89</v>
      </c>
      <c r="AP57" s="29" t="s">
        <v>89</v>
      </c>
    </row>
    <row r="58" spans="1:42" ht="15.75">
      <c r="A58" s="71" t="s">
        <v>299</v>
      </c>
      <c r="B58" s="83"/>
      <c r="C58" s="80"/>
      <c r="D58" s="80"/>
      <c r="E58" s="80"/>
      <c r="F58" s="80"/>
      <c r="G58" s="84"/>
      <c r="H58" s="84"/>
      <c r="I58" s="84"/>
      <c r="J58" s="84"/>
      <c r="K58" s="84"/>
      <c r="L58" s="29">
        <v>112</v>
      </c>
      <c r="M58" s="80"/>
      <c r="N58" s="29">
        <v>178</v>
      </c>
      <c r="O58" s="84"/>
      <c r="P58" s="84"/>
      <c r="Q58" s="80"/>
      <c r="R58" s="80"/>
      <c r="S58" s="80"/>
      <c r="T58" s="80"/>
      <c r="U58" s="80"/>
      <c r="V58" s="80"/>
      <c r="W58" s="83"/>
      <c r="X58" s="80"/>
      <c r="Y58" s="80"/>
      <c r="Z58" s="80"/>
      <c r="AA58" s="80"/>
      <c r="AB58" s="84"/>
      <c r="AC58" s="84"/>
      <c r="AD58" s="84"/>
      <c r="AE58" s="84"/>
      <c r="AF58" s="84"/>
      <c r="AG58" s="29">
        <v>112</v>
      </c>
      <c r="AH58" s="84"/>
      <c r="AI58" s="29">
        <v>178</v>
      </c>
      <c r="AJ58" s="84"/>
      <c r="AK58" s="84"/>
      <c r="AL58" s="80"/>
      <c r="AM58" s="80"/>
      <c r="AN58" s="80"/>
      <c r="AO58" s="80"/>
      <c r="AP58" s="80"/>
    </row>
    <row r="59" spans="1:42" ht="15.75">
      <c r="A59" s="71" t="s">
        <v>134</v>
      </c>
      <c r="B59" s="83"/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/>
      <c r="L59" s="29">
        <v>0</v>
      </c>
      <c r="M59" s="29">
        <v>0.1</v>
      </c>
      <c r="N59" s="29">
        <v>0.23</v>
      </c>
      <c r="O59" s="85">
        <v>0</v>
      </c>
      <c r="P59" s="85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83"/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85">
        <v>0.1</v>
      </c>
      <c r="AI59" s="85">
        <v>0.23</v>
      </c>
      <c r="AJ59" s="85">
        <v>0</v>
      </c>
      <c r="AK59" s="85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</row>
    <row r="60" spans="1:42" ht="31.5">
      <c r="A60" s="71" t="s">
        <v>401</v>
      </c>
      <c r="B60" s="83" t="s">
        <v>402</v>
      </c>
      <c r="C60" s="29" t="s">
        <v>89</v>
      </c>
      <c r="D60" s="29" t="s">
        <v>89</v>
      </c>
      <c r="E60" s="29" t="s">
        <v>89</v>
      </c>
      <c r="F60" s="29" t="s">
        <v>89</v>
      </c>
      <c r="G60" s="29" t="s">
        <v>89</v>
      </c>
      <c r="H60" s="29" t="s">
        <v>89</v>
      </c>
      <c r="I60" s="29" t="s">
        <v>89</v>
      </c>
      <c r="J60" s="29" t="s">
        <v>89</v>
      </c>
      <c r="K60" s="29"/>
      <c r="L60" s="29" t="s">
        <v>89</v>
      </c>
      <c r="M60" s="29" t="s">
        <v>89</v>
      </c>
      <c r="N60" s="29" t="s">
        <v>89</v>
      </c>
      <c r="O60" s="29" t="s">
        <v>89</v>
      </c>
      <c r="P60" s="29" t="s">
        <v>89</v>
      </c>
      <c r="Q60" s="29" t="s">
        <v>89</v>
      </c>
      <c r="R60" s="29" t="s">
        <v>89</v>
      </c>
      <c r="S60" s="29" t="s">
        <v>89</v>
      </c>
      <c r="T60" s="29" t="s">
        <v>89</v>
      </c>
      <c r="U60" s="29" t="s">
        <v>89</v>
      </c>
      <c r="V60" s="29" t="s">
        <v>89</v>
      </c>
      <c r="W60" s="83"/>
      <c r="X60" s="29" t="s">
        <v>89</v>
      </c>
      <c r="Y60" s="29" t="s">
        <v>88</v>
      </c>
      <c r="Z60" s="29" t="s">
        <v>89</v>
      </c>
      <c r="AA60" s="29" t="s">
        <v>88</v>
      </c>
      <c r="AB60" s="29" t="s">
        <v>89</v>
      </c>
      <c r="AC60" s="29" t="s">
        <v>89</v>
      </c>
      <c r="AD60" s="29" t="s">
        <v>88</v>
      </c>
      <c r="AE60" s="29" t="s">
        <v>88</v>
      </c>
      <c r="AF60" s="29" t="s">
        <v>89</v>
      </c>
      <c r="AG60" s="29" t="s">
        <v>88</v>
      </c>
      <c r="AH60" s="29" t="s">
        <v>89</v>
      </c>
      <c r="AI60" s="29" t="s">
        <v>89</v>
      </c>
      <c r="AJ60" s="29" t="s">
        <v>89</v>
      </c>
      <c r="AK60" s="29" t="s">
        <v>89</v>
      </c>
      <c r="AL60" s="29" t="s">
        <v>89</v>
      </c>
      <c r="AM60" s="29" t="s">
        <v>89</v>
      </c>
      <c r="AN60" s="29" t="s">
        <v>88</v>
      </c>
      <c r="AO60" s="29" t="s">
        <v>89</v>
      </c>
      <c r="AP60" s="29" t="s">
        <v>89</v>
      </c>
    </row>
    <row r="61" spans="1:42" ht="15.75">
      <c r="A61" s="68" t="s">
        <v>307</v>
      </c>
      <c r="B61" s="68"/>
      <c r="C61" s="96"/>
      <c r="D61" s="68"/>
      <c r="E61" s="68"/>
      <c r="F61" s="68"/>
      <c r="G61" s="68"/>
      <c r="H61" s="68"/>
      <c r="I61" s="68"/>
      <c r="J61" s="68"/>
      <c r="K61" s="70"/>
      <c r="L61" s="68"/>
      <c r="M61" s="68"/>
      <c r="N61" s="68"/>
      <c r="O61" s="96"/>
      <c r="P61" s="70"/>
      <c r="Q61" s="68"/>
      <c r="R61" s="68"/>
      <c r="S61" s="68"/>
      <c r="T61" s="70"/>
      <c r="U61" s="70"/>
      <c r="V61" s="70"/>
      <c r="W61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</row>
    <row r="62" spans="1:42" ht="15.75">
      <c r="A62" s="86" t="s">
        <v>136</v>
      </c>
      <c r="B62" s="86"/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/>
      <c r="I62" s="7">
        <v>0</v>
      </c>
      <c r="J62" s="7">
        <v>0</v>
      </c>
      <c r="K62" s="29"/>
      <c r="L62" s="7">
        <v>0</v>
      </c>
      <c r="M62" s="7">
        <v>0</v>
      </c>
      <c r="N62" s="7">
        <v>0</v>
      </c>
      <c r="O62" s="7">
        <v>0</v>
      </c>
      <c r="P62" s="85">
        <v>0</v>
      </c>
      <c r="Q62" s="7">
        <v>0</v>
      </c>
      <c r="R62" s="7">
        <v>0</v>
      </c>
      <c r="S62" s="7">
        <v>0</v>
      </c>
      <c r="T62" s="29">
        <v>0</v>
      </c>
      <c r="U62" s="29">
        <v>0</v>
      </c>
      <c r="V62" s="29">
        <v>0</v>
      </c>
      <c r="W62" s="86"/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249</v>
      </c>
      <c r="AG62" s="29">
        <v>0</v>
      </c>
      <c r="AH62" s="29">
        <v>0</v>
      </c>
      <c r="AI62" s="29">
        <v>0</v>
      </c>
      <c r="AJ62" s="29">
        <v>0</v>
      </c>
      <c r="AK62" s="85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</row>
    <row r="63" spans="1:42" ht="15.75">
      <c r="A63" s="71" t="s">
        <v>300</v>
      </c>
      <c r="B63" s="8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/>
      <c r="I63" s="7">
        <v>0</v>
      </c>
      <c r="J63" s="7">
        <v>0</v>
      </c>
      <c r="K63" s="29"/>
      <c r="L63" s="7">
        <v>0</v>
      </c>
      <c r="M63" s="7">
        <v>0</v>
      </c>
      <c r="N63" s="7">
        <v>0</v>
      </c>
      <c r="O63" s="7">
        <v>0</v>
      </c>
      <c r="P63" s="85">
        <v>0</v>
      </c>
      <c r="Q63" s="7">
        <v>0</v>
      </c>
      <c r="R63" s="7">
        <v>0</v>
      </c>
      <c r="S63" s="7">
        <v>0</v>
      </c>
      <c r="T63" s="29">
        <v>0</v>
      </c>
      <c r="U63" s="29">
        <v>0</v>
      </c>
      <c r="V63" s="29">
        <v>0</v>
      </c>
      <c r="W63" s="86"/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255</v>
      </c>
      <c r="AG63" s="29">
        <v>0</v>
      </c>
      <c r="AH63" s="29">
        <v>0</v>
      </c>
      <c r="AI63" s="29">
        <v>0</v>
      </c>
      <c r="AJ63" s="29">
        <v>0</v>
      </c>
      <c r="AK63" s="85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</row>
    <row r="64" spans="1:42" ht="15.75">
      <c r="A64" s="71" t="s">
        <v>137</v>
      </c>
      <c r="B64" s="71"/>
      <c r="C64" s="7">
        <v>2</v>
      </c>
      <c r="D64" s="7">
        <v>2</v>
      </c>
      <c r="E64" s="7">
        <v>2</v>
      </c>
      <c r="F64" s="7">
        <v>2</v>
      </c>
      <c r="G64" s="7">
        <v>2</v>
      </c>
      <c r="H64" s="7"/>
      <c r="I64" s="7">
        <v>2</v>
      </c>
      <c r="J64" s="7">
        <v>2</v>
      </c>
      <c r="K64" s="29"/>
      <c r="L64" s="7">
        <v>2</v>
      </c>
      <c r="M64" s="7">
        <v>2</v>
      </c>
      <c r="N64" s="7">
        <v>2</v>
      </c>
      <c r="O64" s="7">
        <v>2</v>
      </c>
      <c r="P64" s="85">
        <v>2</v>
      </c>
      <c r="Q64" s="7">
        <v>2</v>
      </c>
      <c r="R64" s="7">
        <v>2</v>
      </c>
      <c r="S64" s="7">
        <v>2</v>
      </c>
      <c r="T64" s="29">
        <v>2</v>
      </c>
      <c r="U64" s="29">
        <v>2</v>
      </c>
      <c r="V64" s="29">
        <v>2</v>
      </c>
      <c r="W64" s="71"/>
      <c r="X64" s="29">
        <v>2</v>
      </c>
      <c r="Y64" s="29">
        <v>2</v>
      </c>
      <c r="Z64" s="29">
        <v>2</v>
      </c>
      <c r="AA64" s="29">
        <v>2</v>
      </c>
      <c r="AB64" s="29">
        <v>2</v>
      </c>
      <c r="AC64" s="29">
        <v>2</v>
      </c>
      <c r="AD64" s="29">
        <v>2</v>
      </c>
      <c r="AE64" s="29">
        <v>2</v>
      </c>
      <c r="AF64" s="29">
        <v>2</v>
      </c>
      <c r="AG64" s="29">
        <v>2</v>
      </c>
      <c r="AH64" s="29">
        <v>2</v>
      </c>
      <c r="AI64" s="29">
        <v>2</v>
      </c>
      <c r="AJ64" s="29">
        <v>2</v>
      </c>
      <c r="AK64" s="85">
        <v>2</v>
      </c>
      <c r="AL64" s="29">
        <v>2</v>
      </c>
      <c r="AM64" s="29">
        <v>2</v>
      </c>
      <c r="AN64" s="29">
        <v>2</v>
      </c>
      <c r="AO64" s="29">
        <v>2</v>
      </c>
      <c r="AP64" s="29">
        <v>2</v>
      </c>
    </row>
    <row r="65" spans="1:42" ht="15.75">
      <c r="A65" s="71" t="s">
        <v>138</v>
      </c>
      <c r="B65" s="71"/>
      <c r="C65" s="7" t="s">
        <v>139</v>
      </c>
      <c r="D65" s="7" t="s">
        <v>139</v>
      </c>
      <c r="E65" s="7" t="s">
        <v>101</v>
      </c>
      <c r="F65" s="7" t="s">
        <v>139</v>
      </c>
      <c r="G65" s="7" t="s">
        <v>139</v>
      </c>
      <c r="H65" s="7"/>
      <c r="I65" s="7" t="s">
        <v>139</v>
      </c>
      <c r="J65" s="7" t="s">
        <v>139</v>
      </c>
      <c r="K65" s="29"/>
      <c r="L65" s="7" t="s">
        <v>139</v>
      </c>
      <c r="M65" s="7" t="s">
        <v>139</v>
      </c>
      <c r="N65" s="7" t="s">
        <v>139</v>
      </c>
      <c r="O65" s="7" t="s">
        <v>139</v>
      </c>
      <c r="P65" s="29" t="s">
        <v>139</v>
      </c>
      <c r="Q65" s="7" t="s">
        <v>139</v>
      </c>
      <c r="R65" s="7" t="s">
        <v>139</v>
      </c>
      <c r="S65" s="7" t="s">
        <v>139</v>
      </c>
      <c r="T65" s="29" t="s">
        <v>139</v>
      </c>
      <c r="U65" s="29" t="s">
        <v>139</v>
      </c>
      <c r="V65" s="29" t="s">
        <v>139</v>
      </c>
      <c r="W65" s="71"/>
      <c r="X65" s="29" t="s">
        <v>139</v>
      </c>
      <c r="Y65" s="29" t="s">
        <v>139</v>
      </c>
      <c r="Z65" s="29" t="s">
        <v>101</v>
      </c>
      <c r="AA65" s="29" t="s">
        <v>139</v>
      </c>
      <c r="AB65" s="29" t="s">
        <v>139</v>
      </c>
      <c r="AC65" s="29" t="s">
        <v>101</v>
      </c>
      <c r="AD65" s="29" t="s">
        <v>139</v>
      </c>
      <c r="AE65" s="29" t="s">
        <v>139</v>
      </c>
      <c r="AF65" s="29" t="s">
        <v>139</v>
      </c>
      <c r="AG65" s="29" t="s">
        <v>139</v>
      </c>
      <c r="AH65" s="29" t="s">
        <v>139</v>
      </c>
      <c r="AI65" s="29" t="s">
        <v>139</v>
      </c>
      <c r="AJ65" s="29" t="s">
        <v>139</v>
      </c>
      <c r="AK65" s="29" t="s">
        <v>139</v>
      </c>
      <c r="AL65" s="29" t="s">
        <v>139</v>
      </c>
      <c r="AM65" s="29" t="s">
        <v>139</v>
      </c>
      <c r="AN65" s="29" t="s">
        <v>139</v>
      </c>
      <c r="AO65" s="29" t="s">
        <v>139</v>
      </c>
      <c r="AP65" s="29" t="s">
        <v>139</v>
      </c>
    </row>
    <row r="66" spans="1:42" ht="15.75">
      <c r="A66" s="71" t="s">
        <v>140</v>
      </c>
      <c r="B66" s="71"/>
      <c r="C66" s="34">
        <f>2/3</f>
        <v>0.66666666666666663</v>
      </c>
      <c r="D66" s="107">
        <f>5/6</f>
        <v>0.83333333333333337</v>
      </c>
      <c r="E66" s="107">
        <f>1/2</f>
        <v>0.5</v>
      </c>
      <c r="F66" s="107">
        <f>2/3</f>
        <v>0.66666666666666663</v>
      </c>
      <c r="G66" s="107">
        <f>2/3</f>
        <v>0.66666666666666663</v>
      </c>
      <c r="H66" s="107"/>
      <c r="I66" s="107">
        <f>2/3</f>
        <v>0.66666666666666663</v>
      </c>
      <c r="J66" s="107">
        <f>2/3</f>
        <v>0.66666666666666663</v>
      </c>
      <c r="K66" s="88"/>
      <c r="L66" s="107">
        <f t="shared" ref="L66:S66" si="7">2/3</f>
        <v>0.66666666666666663</v>
      </c>
      <c r="M66" s="107">
        <f t="shared" si="7"/>
        <v>0.66666666666666663</v>
      </c>
      <c r="N66" s="107">
        <f t="shared" si="7"/>
        <v>0.66666666666666663</v>
      </c>
      <c r="O66" s="34">
        <f t="shared" si="7"/>
        <v>0.66666666666666663</v>
      </c>
      <c r="P66" s="88">
        <f t="shared" si="7"/>
        <v>0.66666666666666663</v>
      </c>
      <c r="Q66" s="107">
        <f t="shared" si="7"/>
        <v>0.66666666666666663</v>
      </c>
      <c r="R66" s="107">
        <f t="shared" si="7"/>
        <v>0.66666666666666663</v>
      </c>
      <c r="S66" s="107">
        <f t="shared" si="7"/>
        <v>0.66666666666666663</v>
      </c>
      <c r="T66" s="88">
        <f>2/3</f>
        <v>0.66666666666666663</v>
      </c>
      <c r="U66" s="88">
        <f>2/3</f>
        <v>0.66666666666666663</v>
      </c>
      <c r="V66" s="88">
        <v>0.66666666666666663</v>
      </c>
      <c r="W66" s="71"/>
      <c r="X66" s="87">
        <f>2/3</f>
        <v>0.66666666666666663</v>
      </c>
      <c r="Y66" s="88">
        <f>5/6</f>
        <v>0.83333333333333337</v>
      </c>
      <c r="Z66" s="88">
        <f>1/2</f>
        <v>0.5</v>
      </c>
      <c r="AA66" s="88">
        <f>2/3</f>
        <v>0.66666666666666663</v>
      </c>
      <c r="AB66" s="88">
        <f>2/3</f>
        <v>0.66666666666666663</v>
      </c>
      <c r="AC66" s="88">
        <f>1/2</f>
        <v>0.5</v>
      </c>
      <c r="AD66" s="88">
        <f>2/3</f>
        <v>0.66666666666666663</v>
      </c>
      <c r="AE66" s="88">
        <f>2/3</f>
        <v>0.66666666666666663</v>
      </c>
      <c r="AF66" s="88">
        <f>3/4</f>
        <v>0.75</v>
      </c>
      <c r="AG66" s="88">
        <f t="shared" ref="AG66:AN66" si="8">2/3</f>
        <v>0.66666666666666663</v>
      </c>
      <c r="AH66" s="88">
        <f t="shared" si="8"/>
        <v>0.66666666666666663</v>
      </c>
      <c r="AI66" s="88">
        <f t="shared" si="8"/>
        <v>0.66666666666666663</v>
      </c>
      <c r="AJ66" s="88">
        <f t="shared" si="8"/>
        <v>0.66666666666666663</v>
      </c>
      <c r="AK66" s="88">
        <f t="shared" si="8"/>
        <v>0.66666666666666663</v>
      </c>
      <c r="AL66" s="88">
        <f t="shared" si="8"/>
        <v>0.66666666666666663</v>
      </c>
      <c r="AM66" s="88">
        <f t="shared" si="8"/>
        <v>0.66666666666666663</v>
      </c>
      <c r="AN66" s="88">
        <f t="shared" si="8"/>
        <v>0.66666666666666663</v>
      </c>
      <c r="AO66" s="88">
        <f>2/3</f>
        <v>0.66666666666666663</v>
      </c>
      <c r="AP66" s="88">
        <f>2/3</f>
        <v>0.66666666666666663</v>
      </c>
    </row>
    <row r="67" spans="1:42" ht="15.75">
      <c r="A67" s="71" t="s">
        <v>146</v>
      </c>
      <c r="B67" s="71"/>
      <c r="C67" s="7">
        <v>64800</v>
      </c>
      <c r="D67" s="7">
        <v>64800</v>
      </c>
      <c r="E67" s="7">
        <v>64800</v>
      </c>
      <c r="F67" s="7">
        <v>64800</v>
      </c>
      <c r="G67" s="7">
        <v>64800</v>
      </c>
      <c r="H67" s="7"/>
      <c r="I67" s="7">
        <v>64800</v>
      </c>
      <c r="J67" s="7">
        <v>64800</v>
      </c>
      <c r="K67" s="29"/>
      <c r="L67" s="7">
        <v>64800</v>
      </c>
      <c r="M67" s="7">
        <v>64800</v>
      </c>
      <c r="N67" s="7">
        <v>64800</v>
      </c>
      <c r="O67" s="7">
        <v>64800</v>
      </c>
      <c r="P67" s="29">
        <v>64800</v>
      </c>
      <c r="Q67" s="7">
        <v>64800</v>
      </c>
      <c r="R67" s="7">
        <v>64800</v>
      </c>
      <c r="S67" s="7">
        <v>64800</v>
      </c>
      <c r="T67" s="29">
        <v>64800</v>
      </c>
      <c r="U67" s="29">
        <v>64800</v>
      </c>
      <c r="V67" s="29">
        <v>64800</v>
      </c>
      <c r="W67" s="71"/>
      <c r="X67" s="29">
        <v>64800</v>
      </c>
      <c r="Y67" s="29">
        <v>64800</v>
      </c>
      <c r="Z67" s="29">
        <v>64800</v>
      </c>
      <c r="AA67" s="29">
        <v>64800</v>
      </c>
      <c r="AB67" s="29">
        <v>64800</v>
      </c>
      <c r="AC67" s="29">
        <v>64800</v>
      </c>
      <c r="AD67" s="29">
        <v>64800</v>
      </c>
      <c r="AE67" s="29">
        <v>64800</v>
      </c>
      <c r="AF67" s="29">
        <v>64800</v>
      </c>
      <c r="AG67" s="29">
        <v>64800</v>
      </c>
      <c r="AH67" s="29">
        <v>64800</v>
      </c>
      <c r="AI67" s="29">
        <v>64800</v>
      </c>
      <c r="AJ67" s="29">
        <v>64800</v>
      </c>
      <c r="AK67" s="29">
        <v>64800</v>
      </c>
      <c r="AL67" s="29">
        <v>64800</v>
      </c>
      <c r="AM67" s="29">
        <v>64800</v>
      </c>
      <c r="AN67" s="29">
        <v>64800</v>
      </c>
      <c r="AO67" s="29">
        <v>64800</v>
      </c>
      <c r="AP67" s="29">
        <v>64800</v>
      </c>
    </row>
    <row r="68" spans="1:42" ht="15.75">
      <c r="A68" s="71" t="s">
        <v>147</v>
      </c>
      <c r="B68" s="71"/>
      <c r="C68" s="7" t="s">
        <v>88</v>
      </c>
      <c r="D68" s="7" t="s">
        <v>88</v>
      </c>
      <c r="E68" s="7" t="s">
        <v>88</v>
      </c>
      <c r="F68" s="7" t="s">
        <v>88</v>
      </c>
      <c r="G68" s="7" t="s">
        <v>88</v>
      </c>
      <c r="H68" s="7"/>
      <c r="I68" s="7" t="s">
        <v>88</v>
      </c>
      <c r="J68" s="7" t="s">
        <v>88</v>
      </c>
      <c r="K68" s="29"/>
      <c r="L68" s="7" t="s">
        <v>88</v>
      </c>
      <c r="M68" s="7" t="s">
        <v>88</v>
      </c>
      <c r="N68" s="7" t="s">
        <v>88</v>
      </c>
      <c r="O68" s="7" t="s">
        <v>88</v>
      </c>
      <c r="P68" s="92" t="s">
        <v>371</v>
      </c>
      <c r="Q68" s="7" t="s">
        <v>88</v>
      </c>
      <c r="R68" s="7" t="s">
        <v>88</v>
      </c>
      <c r="S68" s="7" t="s">
        <v>88</v>
      </c>
      <c r="T68" s="29" t="s">
        <v>88</v>
      </c>
      <c r="U68" s="29" t="s">
        <v>88</v>
      </c>
      <c r="V68" s="29" t="s">
        <v>89</v>
      </c>
      <c r="W68" s="71"/>
      <c r="X68" s="29" t="s">
        <v>88</v>
      </c>
      <c r="Y68" s="29" t="s">
        <v>88</v>
      </c>
      <c r="Z68" s="29" t="s">
        <v>88</v>
      </c>
      <c r="AA68" s="29" t="s">
        <v>88</v>
      </c>
      <c r="AB68" s="29" t="s">
        <v>88</v>
      </c>
      <c r="AC68" s="29" t="s">
        <v>88</v>
      </c>
      <c r="AD68" s="29" t="s">
        <v>88</v>
      </c>
      <c r="AE68" s="29" t="s">
        <v>88</v>
      </c>
      <c r="AF68" s="29" t="s">
        <v>88</v>
      </c>
      <c r="AG68" s="29" t="s">
        <v>88</v>
      </c>
      <c r="AH68" s="29" t="s">
        <v>88</v>
      </c>
      <c r="AI68" s="29" t="s">
        <v>88</v>
      </c>
      <c r="AJ68" s="29" t="s">
        <v>88</v>
      </c>
      <c r="AK68" s="92" t="s">
        <v>371</v>
      </c>
      <c r="AL68" s="29" t="s">
        <v>88</v>
      </c>
      <c r="AM68" s="29" t="s">
        <v>88</v>
      </c>
      <c r="AN68" s="29" t="s">
        <v>88</v>
      </c>
      <c r="AO68" s="29" t="s">
        <v>88</v>
      </c>
      <c r="AP68" s="29" t="s">
        <v>88</v>
      </c>
    </row>
    <row r="69" spans="1:42" ht="15.75">
      <c r="A69" s="71" t="s">
        <v>148</v>
      </c>
      <c r="B69" s="71" t="s">
        <v>149</v>
      </c>
      <c r="C69" s="7" t="s">
        <v>301</v>
      </c>
      <c r="D69" s="7" t="s">
        <v>301</v>
      </c>
      <c r="E69" s="7" t="s">
        <v>301</v>
      </c>
      <c r="F69" s="7" t="s">
        <v>301</v>
      </c>
      <c r="G69" s="7" t="s">
        <v>301</v>
      </c>
      <c r="H69" s="7"/>
      <c r="I69" s="7" t="s">
        <v>301</v>
      </c>
      <c r="J69" s="7" t="s">
        <v>301</v>
      </c>
      <c r="K69" s="29"/>
      <c r="L69" s="7" t="s">
        <v>301</v>
      </c>
      <c r="M69" s="7" t="s">
        <v>301</v>
      </c>
      <c r="N69" s="7" t="s">
        <v>301</v>
      </c>
      <c r="O69" s="7" t="s">
        <v>301</v>
      </c>
      <c r="P69" s="29">
        <v>29</v>
      </c>
      <c r="Q69" s="7" t="s">
        <v>301</v>
      </c>
      <c r="R69" s="7" t="s">
        <v>301</v>
      </c>
      <c r="S69" s="7" t="s">
        <v>301</v>
      </c>
      <c r="T69" s="29" t="s">
        <v>301</v>
      </c>
      <c r="U69" s="29" t="s">
        <v>301</v>
      </c>
      <c r="V69" s="29">
        <v>29</v>
      </c>
      <c r="W69" s="71"/>
      <c r="X69" s="29" t="s">
        <v>301</v>
      </c>
      <c r="Y69" s="29" t="s">
        <v>301</v>
      </c>
      <c r="Z69" s="29" t="s">
        <v>301</v>
      </c>
      <c r="AA69" s="29" t="s">
        <v>301</v>
      </c>
      <c r="AB69" s="29" t="s">
        <v>301</v>
      </c>
      <c r="AC69" s="29" t="s">
        <v>301</v>
      </c>
      <c r="AD69" s="29" t="s">
        <v>301</v>
      </c>
      <c r="AE69" s="29" t="s">
        <v>301</v>
      </c>
      <c r="AF69" s="29" t="s">
        <v>301</v>
      </c>
      <c r="AG69" s="29" t="s">
        <v>301</v>
      </c>
      <c r="AH69" s="29" t="s">
        <v>301</v>
      </c>
      <c r="AI69" s="29" t="s">
        <v>301</v>
      </c>
      <c r="AJ69" s="29" t="s">
        <v>301</v>
      </c>
      <c r="AK69" s="29">
        <v>30</v>
      </c>
      <c r="AL69" s="29" t="s">
        <v>301</v>
      </c>
      <c r="AM69" s="29" t="s">
        <v>301</v>
      </c>
      <c r="AN69" s="29" t="s">
        <v>301</v>
      </c>
      <c r="AO69" s="29" t="s">
        <v>301</v>
      </c>
      <c r="AP69" s="29" t="s">
        <v>301</v>
      </c>
    </row>
    <row r="70" spans="1:42" ht="15.75">
      <c r="A70" s="71" t="s">
        <v>150</v>
      </c>
      <c r="B70" s="71" t="s">
        <v>151</v>
      </c>
      <c r="C70" s="7">
        <v>57</v>
      </c>
      <c r="D70" s="7">
        <v>53</v>
      </c>
      <c r="E70" s="7">
        <v>14</v>
      </c>
      <c r="F70" s="7">
        <v>50</v>
      </c>
      <c r="G70" s="7">
        <v>57</v>
      </c>
      <c r="H70" s="7"/>
      <c r="I70" s="7">
        <v>50</v>
      </c>
      <c r="J70" s="7">
        <v>50</v>
      </c>
      <c r="K70" s="29"/>
      <c r="L70" s="7">
        <v>50</v>
      </c>
      <c r="M70" s="7">
        <v>50</v>
      </c>
      <c r="N70" s="7">
        <v>50</v>
      </c>
      <c r="O70" s="7">
        <v>57</v>
      </c>
      <c r="P70" s="85">
        <v>29</v>
      </c>
      <c r="Q70" s="7">
        <v>50</v>
      </c>
      <c r="R70" s="7">
        <v>50</v>
      </c>
      <c r="S70" s="7">
        <v>50</v>
      </c>
      <c r="T70" s="29">
        <v>50</v>
      </c>
      <c r="U70" s="29">
        <v>50</v>
      </c>
      <c r="V70" s="29">
        <v>29</v>
      </c>
      <c r="W70" s="71"/>
      <c r="X70" s="29">
        <v>57</v>
      </c>
      <c r="Y70" s="29">
        <v>53</v>
      </c>
      <c r="Z70" s="29">
        <v>14</v>
      </c>
      <c r="AA70" s="29">
        <v>50</v>
      </c>
      <c r="AB70" s="29">
        <v>57</v>
      </c>
      <c r="AC70" s="29">
        <v>14</v>
      </c>
      <c r="AD70" s="29">
        <v>50</v>
      </c>
      <c r="AE70" s="29">
        <v>50</v>
      </c>
      <c r="AF70" s="29">
        <v>13</v>
      </c>
      <c r="AG70" s="29">
        <v>50</v>
      </c>
      <c r="AH70" s="29">
        <v>50</v>
      </c>
      <c r="AI70" s="29">
        <v>50</v>
      </c>
      <c r="AJ70" s="29">
        <v>57</v>
      </c>
      <c r="AK70" s="85">
        <v>30</v>
      </c>
      <c r="AL70" s="29">
        <v>50</v>
      </c>
      <c r="AM70" s="29">
        <v>50</v>
      </c>
      <c r="AN70" s="29">
        <v>50</v>
      </c>
      <c r="AO70" s="29">
        <v>50</v>
      </c>
      <c r="AP70" s="29">
        <v>50</v>
      </c>
    </row>
    <row r="71" spans="1:42" ht="12.75" customHeight="1">
      <c r="A71" s="71" t="s">
        <v>152</v>
      </c>
      <c r="B71" s="71" t="s">
        <v>153</v>
      </c>
      <c r="C71" s="7">
        <v>1</v>
      </c>
      <c r="D71" s="7">
        <v>1</v>
      </c>
      <c r="E71" s="7">
        <v>1</v>
      </c>
      <c r="F71" s="7">
        <v>1</v>
      </c>
      <c r="G71" s="7">
        <v>1</v>
      </c>
      <c r="H71" s="7"/>
      <c r="I71" s="7">
        <v>1</v>
      </c>
      <c r="J71" s="7">
        <v>1</v>
      </c>
      <c r="K71" s="29"/>
      <c r="L71" s="7">
        <v>1</v>
      </c>
      <c r="M71" s="7">
        <v>1</v>
      </c>
      <c r="N71" s="7">
        <v>1</v>
      </c>
      <c r="O71" s="7">
        <v>1</v>
      </c>
      <c r="P71" s="29">
        <v>1</v>
      </c>
      <c r="Q71" s="7">
        <v>1</v>
      </c>
      <c r="R71" s="7">
        <v>1</v>
      </c>
      <c r="S71" s="7">
        <v>1</v>
      </c>
      <c r="T71" s="29">
        <v>1</v>
      </c>
      <c r="U71" s="29">
        <v>1</v>
      </c>
      <c r="V71" s="29">
        <v>1</v>
      </c>
      <c r="W71" s="71"/>
      <c r="X71" s="29">
        <v>1</v>
      </c>
      <c r="Y71" s="29">
        <v>1</v>
      </c>
      <c r="Z71" s="29">
        <v>1</v>
      </c>
      <c r="AA71" s="29">
        <v>1</v>
      </c>
      <c r="AB71" s="29">
        <v>1</v>
      </c>
      <c r="AC71" s="29">
        <v>1</v>
      </c>
      <c r="AD71" s="29">
        <v>1</v>
      </c>
      <c r="AE71" s="29">
        <v>1</v>
      </c>
      <c r="AF71" s="29">
        <v>1</v>
      </c>
      <c r="AG71" s="29">
        <v>1</v>
      </c>
      <c r="AH71" s="29">
        <v>1</v>
      </c>
      <c r="AI71" s="29">
        <v>1</v>
      </c>
      <c r="AJ71" s="29">
        <v>1</v>
      </c>
      <c r="AK71" s="29">
        <v>1</v>
      </c>
      <c r="AL71" s="29">
        <v>1</v>
      </c>
      <c r="AM71" s="29">
        <v>1</v>
      </c>
      <c r="AN71" s="29">
        <v>1</v>
      </c>
      <c r="AO71" s="29">
        <v>1</v>
      </c>
      <c r="AP71" s="29">
        <v>1</v>
      </c>
    </row>
    <row r="72" spans="1:42" ht="15.75">
      <c r="A72" s="71" t="s">
        <v>154</v>
      </c>
      <c r="B72" s="71" t="s">
        <v>153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H72" s="7"/>
      <c r="I72" s="7">
        <v>1</v>
      </c>
      <c r="J72" s="7">
        <v>1</v>
      </c>
      <c r="K72" s="29"/>
      <c r="L72" s="7">
        <v>1</v>
      </c>
      <c r="M72" s="7">
        <v>1</v>
      </c>
      <c r="N72" s="7">
        <v>1</v>
      </c>
      <c r="O72" s="7">
        <v>1</v>
      </c>
      <c r="P72" s="29">
        <v>1</v>
      </c>
      <c r="Q72" s="7">
        <v>1</v>
      </c>
      <c r="R72" s="7">
        <v>1</v>
      </c>
      <c r="S72" s="7">
        <v>1</v>
      </c>
      <c r="T72" s="29">
        <v>1</v>
      </c>
      <c r="U72" s="29">
        <v>1</v>
      </c>
      <c r="V72" s="29">
        <v>1</v>
      </c>
      <c r="W72" s="71"/>
      <c r="X72" s="29">
        <v>1</v>
      </c>
      <c r="Y72" s="29">
        <v>1</v>
      </c>
      <c r="Z72" s="29">
        <v>1</v>
      </c>
      <c r="AA72" s="29">
        <v>1</v>
      </c>
      <c r="AB72" s="29">
        <v>1</v>
      </c>
      <c r="AC72" s="29">
        <v>1</v>
      </c>
      <c r="AD72" s="29">
        <v>1</v>
      </c>
      <c r="AE72" s="29">
        <v>1</v>
      </c>
      <c r="AF72" s="29">
        <v>1</v>
      </c>
      <c r="AG72" s="29">
        <v>1</v>
      </c>
      <c r="AH72" s="29">
        <v>1</v>
      </c>
      <c r="AI72" s="29">
        <v>1</v>
      </c>
      <c r="AJ72" s="29">
        <v>1</v>
      </c>
      <c r="AK72" s="29">
        <v>1</v>
      </c>
      <c r="AL72" s="29">
        <v>1</v>
      </c>
      <c r="AM72" s="29">
        <v>1</v>
      </c>
      <c r="AN72" s="29">
        <v>1</v>
      </c>
      <c r="AO72" s="29">
        <v>1</v>
      </c>
      <c r="AP72" s="29">
        <v>1</v>
      </c>
    </row>
    <row r="73" spans="1:42" ht="15.75">
      <c r="A73" s="71" t="s">
        <v>155</v>
      </c>
      <c r="B73" s="71"/>
      <c r="C73" s="7">
        <v>1</v>
      </c>
      <c r="D73" s="7">
        <v>1</v>
      </c>
      <c r="E73" s="7">
        <v>1</v>
      </c>
      <c r="F73" s="7">
        <v>1</v>
      </c>
      <c r="G73" s="7">
        <v>1</v>
      </c>
      <c r="H73" s="7"/>
      <c r="I73" s="7">
        <v>1</v>
      </c>
      <c r="J73" s="7">
        <v>1</v>
      </c>
      <c r="K73" s="29"/>
      <c r="L73" s="7">
        <v>1</v>
      </c>
      <c r="M73" s="7">
        <v>1</v>
      </c>
      <c r="N73" s="7">
        <v>1</v>
      </c>
      <c r="O73" s="7">
        <v>1</v>
      </c>
      <c r="P73" s="29">
        <v>1</v>
      </c>
      <c r="Q73" s="7">
        <v>1</v>
      </c>
      <c r="R73" s="7">
        <v>1</v>
      </c>
      <c r="S73" s="7">
        <v>1</v>
      </c>
      <c r="T73" s="29">
        <v>1</v>
      </c>
      <c r="U73" s="29">
        <v>1</v>
      </c>
      <c r="V73" s="29">
        <v>1</v>
      </c>
      <c r="W73" s="71"/>
      <c r="X73" s="29">
        <v>1</v>
      </c>
      <c r="Y73" s="29">
        <v>1</v>
      </c>
      <c r="Z73" s="29">
        <v>1</v>
      </c>
      <c r="AA73" s="29">
        <v>1</v>
      </c>
      <c r="AB73" s="29">
        <v>1</v>
      </c>
      <c r="AC73" s="29">
        <v>1</v>
      </c>
      <c r="AD73" s="29">
        <v>1</v>
      </c>
      <c r="AE73" s="29">
        <v>1</v>
      </c>
      <c r="AF73" s="29">
        <v>1</v>
      </c>
      <c r="AG73" s="29">
        <v>1</v>
      </c>
      <c r="AH73" s="29">
        <v>1</v>
      </c>
      <c r="AI73" s="29">
        <v>1</v>
      </c>
      <c r="AJ73" s="29">
        <v>1</v>
      </c>
      <c r="AK73" s="29">
        <v>1</v>
      </c>
      <c r="AL73" s="29">
        <v>1</v>
      </c>
      <c r="AM73" s="29">
        <v>1</v>
      </c>
      <c r="AN73" s="29">
        <v>1</v>
      </c>
      <c r="AO73" s="29">
        <v>1</v>
      </c>
      <c r="AP73" s="29">
        <v>1</v>
      </c>
    </row>
    <row r="74" spans="1:42" ht="15.75">
      <c r="A74" s="71" t="s">
        <v>302</v>
      </c>
      <c r="B74" s="71"/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/>
      <c r="I74" s="7">
        <v>0</v>
      </c>
      <c r="J74" s="7">
        <v>0</v>
      </c>
      <c r="K74" s="29"/>
      <c r="L74" s="7">
        <v>0</v>
      </c>
      <c r="M74" s="7">
        <v>0</v>
      </c>
      <c r="N74" s="7">
        <v>0</v>
      </c>
      <c r="O74" s="7">
        <v>0</v>
      </c>
      <c r="P74" s="29">
        <v>0</v>
      </c>
      <c r="Q74" s="7">
        <v>0</v>
      </c>
      <c r="R74" s="7">
        <v>0</v>
      </c>
      <c r="S74" s="7">
        <v>0</v>
      </c>
      <c r="T74" s="29">
        <v>0</v>
      </c>
      <c r="U74" s="29">
        <v>0</v>
      </c>
      <c r="V74" s="29">
        <v>0</v>
      </c>
      <c r="W74" s="71"/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</row>
    <row r="75" spans="1:42" ht="15.75">
      <c r="A75" s="89" t="s">
        <v>158</v>
      </c>
      <c r="B75" s="68"/>
      <c r="C75"/>
      <c r="D75"/>
      <c r="E75"/>
      <c r="F75"/>
      <c r="G75"/>
      <c r="H75"/>
      <c r="I75"/>
      <c r="J75"/>
      <c r="K75" s="29"/>
      <c r="L75"/>
      <c r="M75"/>
      <c r="N75"/>
      <c r="O75"/>
      <c r="P75" s="68"/>
      <c r="Q75"/>
      <c r="R75"/>
      <c r="S75"/>
      <c r="W75"/>
      <c r="X75"/>
      <c r="AE75" s="29"/>
      <c r="AF75" s="29"/>
      <c r="AG75" s="29"/>
      <c r="AI75" s="29"/>
      <c r="AK75" s="68"/>
      <c r="AL75" s="29"/>
      <c r="AM75" s="29"/>
      <c r="AN75" s="29"/>
      <c r="AO75" s="29"/>
      <c r="AP75" s="29"/>
    </row>
    <row r="76" spans="1:42" ht="15.75">
      <c r="A76" s="71" t="s">
        <v>159</v>
      </c>
      <c r="B76" s="71"/>
      <c r="C76" s="7" t="s">
        <v>160</v>
      </c>
      <c r="D76" s="7" t="s">
        <v>160</v>
      </c>
      <c r="E76" s="7" t="s">
        <v>160</v>
      </c>
      <c r="F76" s="7" t="s">
        <v>160</v>
      </c>
      <c r="G76" s="7" t="s">
        <v>160</v>
      </c>
      <c r="H76" s="7"/>
      <c r="I76" s="7" t="s">
        <v>160</v>
      </c>
      <c r="J76" s="7" t="s">
        <v>160</v>
      </c>
      <c r="K76" s="29"/>
      <c r="L76" s="7" t="s">
        <v>160</v>
      </c>
      <c r="M76" s="7" t="s">
        <v>160</v>
      </c>
      <c r="N76" s="7" t="s">
        <v>160</v>
      </c>
      <c r="O76" s="7" t="s">
        <v>160</v>
      </c>
      <c r="P76" s="29" t="s">
        <v>160</v>
      </c>
      <c r="Q76" s="7" t="s">
        <v>160</v>
      </c>
      <c r="R76" s="7" t="s">
        <v>160</v>
      </c>
      <c r="S76" s="7" t="s">
        <v>160</v>
      </c>
      <c r="T76" s="29" t="s">
        <v>160</v>
      </c>
      <c r="U76" s="29" t="s">
        <v>162</v>
      </c>
      <c r="V76" s="29" t="s">
        <v>160</v>
      </c>
      <c r="W76" s="71"/>
      <c r="X76" s="29" t="s">
        <v>160</v>
      </c>
      <c r="Y76" s="29" t="s">
        <v>160</v>
      </c>
      <c r="Z76" s="29" t="s">
        <v>160</v>
      </c>
      <c r="AA76" s="29" t="s">
        <v>160</v>
      </c>
      <c r="AB76" s="29" t="s">
        <v>160</v>
      </c>
      <c r="AC76" s="29" t="s">
        <v>160</v>
      </c>
      <c r="AD76" s="29" t="s">
        <v>160</v>
      </c>
      <c r="AE76" s="29" t="s">
        <v>160</v>
      </c>
      <c r="AF76" s="29" t="s">
        <v>160</v>
      </c>
      <c r="AG76" s="29" t="s">
        <v>160</v>
      </c>
      <c r="AH76" s="29" t="s">
        <v>160</v>
      </c>
      <c r="AI76" s="29" t="s">
        <v>160</v>
      </c>
      <c r="AJ76" s="29" t="s">
        <v>160</v>
      </c>
      <c r="AK76" s="29" t="s">
        <v>160</v>
      </c>
      <c r="AL76" s="29" t="s">
        <v>160</v>
      </c>
      <c r="AM76" s="29" t="s">
        <v>160</v>
      </c>
      <c r="AN76" s="29" t="s">
        <v>160</v>
      </c>
      <c r="AO76" s="29" t="s">
        <v>160</v>
      </c>
      <c r="AP76" s="29" t="s">
        <v>162</v>
      </c>
    </row>
    <row r="77" spans="1:42" ht="15.75">
      <c r="A77" s="71" t="s">
        <v>163</v>
      </c>
      <c r="B77" s="71"/>
      <c r="C77" s="7" t="s">
        <v>88</v>
      </c>
      <c r="D77" s="7" t="s">
        <v>88</v>
      </c>
      <c r="E77" s="7" t="s">
        <v>88</v>
      </c>
      <c r="F77" s="7" t="s">
        <v>88</v>
      </c>
      <c r="G77" s="7" t="s">
        <v>88</v>
      </c>
      <c r="H77" s="7"/>
      <c r="I77" s="7" t="s">
        <v>88</v>
      </c>
      <c r="J77" s="7" t="s">
        <v>88</v>
      </c>
      <c r="K77" s="29"/>
      <c r="L77" s="7" t="s">
        <v>88</v>
      </c>
      <c r="M77" s="7" t="s">
        <v>88</v>
      </c>
      <c r="N77" s="7" t="s">
        <v>88</v>
      </c>
      <c r="O77" s="7" t="s">
        <v>88</v>
      </c>
      <c r="P77" s="29" t="s">
        <v>88</v>
      </c>
      <c r="Q77" s="7" t="s">
        <v>88</v>
      </c>
      <c r="R77" s="7" t="s">
        <v>88</v>
      </c>
      <c r="S77" s="7" t="s">
        <v>88</v>
      </c>
      <c r="T77" s="29" t="s">
        <v>88</v>
      </c>
      <c r="U77" s="29" t="s">
        <v>88</v>
      </c>
      <c r="V77" s="29" t="s">
        <v>88</v>
      </c>
      <c r="W77" s="71"/>
      <c r="X77" s="29" t="s">
        <v>88</v>
      </c>
      <c r="Y77" s="29" t="s">
        <v>88</v>
      </c>
      <c r="Z77" s="29" t="s">
        <v>88</v>
      </c>
      <c r="AA77" s="29" t="s">
        <v>88</v>
      </c>
      <c r="AB77" s="29" t="s">
        <v>88</v>
      </c>
      <c r="AC77" s="29" t="s">
        <v>88</v>
      </c>
      <c r="AD77" s="29" t="s">
        <v>88</v>
      </c>
      <c r="AE77" s="29" t="s">
        <v>88</v>
      </c>
      <c r="AF77" s="29" t="s">
        <v>88</v>
      </c>
      <c r="AG77" s="29" t="s">
        <v>88</v>
      </c>
      <c r="AH77" s="29" t="s">
        <v>88</v>
      </c>
      <c r="AI77" s="29" t="s">
        <v>88</v>
      </c>
      <c r="AJ77" s="29" t="s">
        <v>88</v>
      </c>
      <c r="AK77" s="29" t="s">
        <v>88</v>
      </c>
      <c r="AL77" s="29" t="s">
        <v>88</v>
      </c>
      <c r="AM77" s="29" t="s">
        <v>88</v>
      </c>
      <c r="AN77" s="29" t="s">
        <v>88</v>
      </c>
      <c r="AO77" s="29" t="s">
        <v>88</v>
      </c>
      <c r="AP77" s="29" t="s">
        <v>88</v>
      </c>
    </row>
    <row r="78" spans="1:42" ht="15.75">
      <c r="A78" s="71" t="s">
        <v>165</v>
      </c>
      <c r="B78" s="71"/>
      <c r="C78" s="7">
        <f>197*8192</f>
        <v>1613824</v>
      </c>
      <c r="D78" s="7">
        <f>204*8192</f>
        <v>1671168</v>
      </c>
      <c r="E78" s="7">
        <f>128*8192</f>
        <v>1048576</v>
      </c>
      <c r="F78" s="7">
        <f>216*8192</f>
        <v>1769472</v>
      </c>
      <c r="G78" s="7">
        <f>197*8192</f>
        <v>1613824</v>
      </c>
      <c r="H78" s="7"/>
      <c r="I78" s="7">
        <f>216*8192</f>
        <v>1769472</v>
      </c>
      <c r="J78" s="7">
        <f>216*8192</f>
        <v>1769472</v>
      </c>
      <c r="K78" s="29"/>
      <c r="L78" s="7">
        <f>216*8192</f>
        <v>1769472</v>
      </c>
      <c r="M78" s="7">
        <f>216*8192</f>
        <v>1769472</v>
      </c>
      <c r="N78" s="7">
        <f>216*8192</f>
        <v>1769472</v>
      </c>
      <c r="O78" s="7">
        <f>197*8192</f>
        <v>1613824</v>
      </c>
      <c r="P78" s="85">
        <f>2*2^20</f>
        <v>2097152</v>
      </c>
      <c r="Q78" s="7">
        <f>216*8192</f>
        <v>1769472</v>
      </c>
      <c r="R78" s="7">
        <f>216*8192</f>
        <v>1769472</v>
      </c>
      <c r="S78" s="7">
        <f>216*8192</f>
        <v>1769472</v>
      </c>
      <c r="T78" s="29">
        <f>216*8192</f>
        <v>1769472</v>
      </c>
      <c r="U78" s="29">
        <f>216*8192</f>
        <v>1769472</v>
      </c>
      <c r="V78" s="29">
        <v>2097152</v>
      </c>
      <c r="W78" s="71"/>
      <c r="X78" s="29">
        <f>204*8192</f>
        <v>1671168</v>
      </c>
      <c r="Y78" s="29">
        <f>204*8192</f>
        <v>1671168</v>
      </c>
      <c r="Z78" s="29">
        <f>128*8192</f>
        <v>1048576</v>
      </c>
      <c r="AA78" s="29">
        <f>214*8192</f>
        <v>1753088</v>
      </c>
      <c r="AB78" s="29">
        <f>204*8192</f>
        <v>1671168</v>
      </c>
      <c r="AC78" s="29">
        <f>128*8192</f>
        <v>1048576</v>
      </c>
      <c r="AD78" s="29">
        <f>214*8192</f>
        <v>1753088</v>
      </c>
      <c r="AE78" s="29">
        <f>214*8192</f>
        <v>1753088</v>
      </c>
      <c r="AF78" s="29">
        <f>1024*1024</f>
        <v>1048576</v>
      </c>
      <c r="AG78" s="29">
        <f>214*8192</f>
        <v>1753088</v>
      </c>
      <c r="AH78" s="29">
        <f>216*8192</f>
        <v>1769472</v>
      </c>
      <c r="AI78" s="29">
        <f>216*8192</f>
        <v>1769472</v>
      </c>
      <c r="AJ78" s="29">
        <f>204*8192</f>
        <v>1671168</v>
      </c>
      <c r="AK78" s="85">
        <f>2*2^20</f>
        <v>2097152</v>
      </c>
      <c r="AL78" s="29">
        <f>216*8192</f>
        <v>1769472</v>
      </c>
      <c r="AM78" s="29">
        <f>216*8192</f>
        <v>1769472</v>
      </c>
      <c r="AN78" s="29">
        <f>214*8192</f>
        <v>1753088</v>
      </c>
      <c r="AO78" s="29">
        <f>216*8192</f>
        <v>1769472</v>
      </c>
      <c r="AP78" s="29">
        <f>216*8192</f>
        <v>1769472</v>
      </c>
    </row>
    <row r="79" spans="1:42" ht="15.75">
      <c r="A79" s="71"/>
      <c r="B79" s="71"/>
      <c r="C79" s="108"/>
      <c r="D79" s="108"/>
      <c r="E79" s="108"/>
      <c r="F79" s="108"/>
      <c r="G79" s="108"/>
      <c r="H79" s="108"/>
      <c r="I79" s="108"/>
      <c r="J79" s="108"/>
      <c r="K79" s="90"/>
      <c r="L79" s="108"/>
      <c r="M79" s="108"/>
      <c r="N79" s="108"/>
      <c r="O79" s="108"/>
      <c r="P79" s="112"/>
      <c r="Q79" s="108"/>
      <c r="R79" s="108"/>
      <c r="S79" s="108"/>
      <c r="T79" s="90"/>
      <c r="U79" s="90"/>
      <c r="V79" s="90"/>
      <c r="W79" s="71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112"/>
      <c r="AL79" s="90"/>
      <c r="AM79" s="90"/>
      <c r="AN79" s="90"/>
      <c r="AO79" s="90"/>
      <c r="AP79" s="90"/>
    </row>
    <row r="80" spans="1:42" ht="15.75">
      <c r="A80" s="71" t="s">
        <v>166</v>
      </c>
      <c r="B80" s="71"/>
      <c r="C80" s="7">
        <v>938675</v>
      </c>
      <c r="D80" s="7">
        <v>937468</v>
      </c>
      <c r="E80" s="7">
        <v>949777</v>
      </c>
      <c r="F80" s="7">
        <v>947563</v>
      </c>
      <c r="G80" s="7">
        <v>938668</v>
      </c>
      <c r="H80" s="7"/>
      <c r="I80" s="7">
        <f xml:space="preserve"> 931328+15372</f>
        <v>946700</v>
      </c>
      <c r="J80" s="7">
        <f xml:space="preserve"> 931328+16696</f>
        <v>948024</v>
      </c>
      <c r="K80" s="29"/>
      <c r="L80" s="7">
        <f xml:space="preserve"> 931328+16047</f>
        <v>947375</v>
      </c>
      <c r="M80" s="7">
        <f xml:space="preserve"> 931328+19000</f>
        <v>950328</v>
      </c>
      <c r="N80" s="7">
        <f xml:space="preserve"> 931328+18657</f>
        <v>949985</v>
      </c>
      <c r="O80" s="7">
        <f xml:space="preserve"> 926720+12574</f>
        <v>939294</v>
      </c>
      <c r="P80" s="85">
        <f>1131008+12089</f>
        <v>1143097</v>
      </c>
      <c r="Q80" s="7">
        <f xml:space="preserve"> 931328+15294</f>
        <v>946622</v>
      </c>
      <c r="R80" s="7">
        <f xml:space="preserve"> 931328+15294</f>
        <v>946622</v>
      </c>
      <c r="S80" s="7">
        <f xml:space="preserve"> 931328+15372</f>
        <v>946700</v>
      </c>
      <c r="T80" s="29">
        <f xml:space="preserve"> 976896+11899</f>
        <v>988795</v>
      </c>
      <c r="U80" s="29">
        <f xml:space="preserve"> 926720+11899</f>
        <v>938619</v>
      </c>
      <c r="V80" s="29">
        <v>1143097</v>
      </c>
      <c r="W80" s="71"/>
      <c r="X80" s="29">
        <f>926720+12360</f>
        <v>939080</v>
      </c>
      <c r="Y80" s="29">
        <f>926720+11046</f>
        <v>937766</v>
      </c>
      <c r="Z80" s="29">
        <f>926720+25977</f>
        <v>952697</v>
      </c>
      <c r="AA80" s="29">
        <f>931328+16922</f>
        <v>948250</v>
      </c>
      <c r="AB80" s="29">
        <f>926720+12338</f>
        <v>939058</v>
      </c>
      <c r="AC80" s="29">
        <f>926721+20987</f>
        <v>947708</v>
      </c>
      <c r="AD80" s="29">
        <f>931328+16922</f>
        <v>948250</v>
      </c>
      <c r="AE80" s="29">
        <f>931328+19571</f>
        <v>950899</v>
      </c>
      <c r="AF80" s="29">
        <f>931328+24088</f>
        <v>955416</v>
      </c>
      <c r="AG80" s="29">
        <f>931328+16047</f>
        <v>947375</v>
      </c>
      <c r="AH80" s="29">
        <f>931328+20084</f>
        <v>951412</v>
      </c>
      <c r="AI80" s="29">
        <f>931328+18657</f>
        <v>949985</v>
      </c>
      <c r="AJ80" s="29">
        <f>926720+12574</f>
        <v>939294</v>
      </c>
      <c r="AK80" s="85">
        <f>1131008+12089</f>
        <v>1143097</v>
      </c>
      <c r="AL80" s="29">
        <f>931328+15294</f>
        <v>946622</v>
      </c>
      <c r="AM80" s="29">
        <f>931328+15294</f>
        <v>946622</v>
      </c>
      <c r="AN80" s="29">
        <f>931328+15372</f>
        <v>946700</v>
      </c>
      <c r="AO80" s="29">
        <f xml:space="preserve"> 976896+11899</f>
        <v>988795</v>
      </c>
      <c r="AP80" s="29">
        <f xml:space="preserve"> 926720+11899</f>
        <v>938619</v>
      </c>
    </row>
    <row r="81" spans="1:42" ht="15.75">
      <c r="A81" s="91" t="s">
        <v>83</v>
      </c>
      <c r="B81" s="71" t="s">
        <v>167</v>
      </c>
      <c r="C81" s="28" t="s">
        <v>88</v>
      </c>
      <c r="D81" s="7" t="s">
        <v>88</v>
      </c>
      <c r="E81" s="7" t="s">
        <v>88</v>
      </c>
      <c r="F81" s="7" t="s">
        <v>88</v>
      </c>
      <c r="G81" s="7" t="s">
        <v>88</v>
      </c>
      <c r="H81" s="7"/>
      <c r="I81" s="7" t="s">
        <v>88</v>
      </c>
      <c r="J81" s="7" t="s">
        <v>88</v>
      </c>
      <c r="K81" s="29"/>
      <c r="L81" s="7" t="s">
        <v>88</v>
      </c>
      <c r="M81" s="7" t="s">
        <v>88</v>
      </c>
      <c r="N81" s="7" t="s">
        <v>88</v>
      </c>
      <c r="O81" s="28" t="s">
        <v>88</v>
      </c>
      <c r="P81" s="29" t="s">
        <v>89</v>
      </c>
      <c r="Q81" s="7" t="s">
        <v>88</v>
      </c>
      <c r="R81" s="7" t="s">
        <v>88</v>
      </c>
      <c r="S81" s="7" t="s">
        <v>88</v>
      </c>
      <c r="T81" s="29" t="s">
        <v>88</v>
      </c>
      <c r="U81" s="29" t="s">
        <v>88</v>
      </c>
      <c r="V81" s="29" t="s">
        <v>89</v>
      </c>
      <c r="W81" s="71"/>
      <c r="X81" s="85" t="s">
        <v>88</v>
      </c>
      <c r="Y81" s="29" t="s">
        <v>88</v>
      </c>
      <c r="Z81" s="29" t="s">
        <v>88</v>
      </c>
      <c r="AA81" s="29" t="s">
        <v>88</v>
      </c>
      <c r="AB81" s="29" t="s">
        <v>88</v>
      </c>
      <c r="AC81" s="29" t="s">
        <v>88</v>
      </c>
      <c r="AD81" s="29" t="s">
        <v>88</v>
      </c>
      <c r="AE81" s="29" t="s">
        <v>88</v>
      </c>
      <c r="AF81" s="29" t="s">
        <v>88</v>
      </c>
      <c r="AG81" s="29" t="s">
        <v>88</v>
      </c>
      <c r="AH81" s="29" t="s">
        <v>88</v>
      </c>
      <c r="AI81" s="29" t="s">
        <v>88</v>
      </c>
      <c r="AJ81" s="29" t="s">
        <v>88</v>
      </c>
      <c r="AK81" s="29" t="s">
        <v>89</v>
      </c>
      <c r="AL81" s="29" t="s">
        <v>88</v>
      </c>
      <c r="AM81" s="29" t="s">
        <v>88</v>
      </c>
      <c r="AN81" s="29" t="s">
        <v>88</v>
      </c>
      <c r="AO81" s="29" t="s">
        <v>88</v>
      </c>
      <c r="AP81" s="29" t="s">
        <v>88</v>
      </c>
    </row>
    <row r="82" spans="1:42" ht="15.75">
      <c r="A82" s="91" t="s">
        <v>168</v>
      </c>
      <c r="B82" s="71"/>
      <c r="C82" s="92" t="s">
        <v>303</v>
      </c>
      <c r="D82" s="92" t="s">
        <v>303</v>
      </c>
      <c r="E82" s="92" t="s">
        <v>303</v>
      </c>
      <c r="F82" s="92" t="s">
        <v>303</v>
      </c>
      <c r="G82" s="92" t="s">
        <v>303</v>
      </c>
      <c r="H82" s="7"/>
      <c r="I82" s="92" t="s">
        <v>303</v>
      </c>
      <c r="J82" s="92" t="s">
        <v>303</v>
      </c>
      <c r="K82" s="92"/>
      <c r="L82" s="92" t="s">
        <v>303</v>
      </c>
      <c r="M82" s="92" t="s">
        <v>303</v>
      </c>
      <c r="N82" s="92" t="s">
        <v>303</v>
      </c>
      <c r="O82" s="92" t="s">
        <v>304</v>
      </c>
      <c r="P82" s="92" t="s">
        <v>303</v>
      </c>
      <c r="Q82" s="92" t="s">
        <v>303</v>
      </c>
      <c r="R82" s="92" t="s">
        <v>303</v>
      </c>
      <c r="S82" s="92" t="s">
        <v>303</v>
      </c>
      <c r="T82" s="92" t="s">
        <v>303</v>
      </c>
      <c r="U82" s="92" t="s">
        <v>303</v>
      </c>
      <c r="V82" s="92" t="s">
        <v>303</v>
      </c>
      <c r="W82" s="71"/>
      <c r="X82" s="92" t="s">
        <v>303</v>
      </c>
      <c r="Y82" s="92" t="s">
        <v>303</v>
      </c>
      <c r="Z82" s="92" t="s">
        <v>303</v>
      </c>
      <c r="AA82" s="92" t="s">
        <v>303</v>
      </c>
      <c r="AB82" s="92" t="s">
        <v>303</v>
      </c>
      <c r="AC82" s="92" t="s">
        <v>303</v>
      </c>
      <c r="AD82" s="92" t="s">
        <v>303</v>
      </c>
      <c r="AE82" s="92" t="s">
        <v>303</v>
      </c>
      <c r="AF82" s="92" t="s">
        <v>303</v>
      </c>
      <c r="AG82" s="92" t="s">
        <v>303</v>
      </c>
      <c r="AH82" s="92" t="s">
        <v>303</v>
      </c>
      <c r="AI82" s="92" t="s">
        <v>303</v>
      </c>
      <c r="AJ82" s="92" t="s">
        <v>304</v>
      </c>
      <c r="AK82" s="92" t="s">
        <v>303</v>
      </c>
      <c r="AL82" s="92" t="s">
        <v>303</v>
      </c>
      <c r="AM82" s="92" t="s">
        <v>303</v>
      </c>
      <c r="AN82" s="92" t="s">
        <v>303</v>
      </c>
      <c r="AO82" s="92" t="s">
        <v>303</v>
      </c>
      <c r="AP82" s="92" t="s">
        <v>303</v>
      </c>
    </row>
    <row r="83" spans="1:42" ht="31.5">
      <c r="A83" s="91" t="s">
        <v>170</v>
      </c>
      <c r="B83" s="71"/>
      <c r="C83" s="28">
        <v>0</v>
      </c>
      <c r="D83" s="7">
        <v>0</v>
      </c>
      <c r="E83" s="7">
        <v>0</v>
      </c>
      <c r="F83" s="7">
        <v>0</v>
      </c>
      <c r="G83" s="7">
        <v>0</v>
      </c>
      <c r="H83" s="7"/>
      <c r="I83" s="7">
        <v>0</v>
      </c>
      <c r="J83" s="7">
        <v>0</v>
      </c>
      <c r="K83" s="29"/>
      <c r="L83" s="7">
        <v>0</v>
      </c>
      <c r="M83" s="7">
        <v>0</v>
      </c>
      <c r="N83" s="7">
        <v>0</v>
      </c>
      <c r="O83" s="28">
        <v>0</v>
      </c>
      <c r="P83" s="29">
        <v>0</v>
      </c>
      <c r="Q83" s="7">
        <v>0</v>
      </c>
      <c r="R83" s="7">
        <v>0</v>
      </c>
      <c r="S83" s="7">
        <v>0</v>
      </c>
      <c r="T83" s="29">
        <v>0</v>
      </c>
      <c r="U83" s="29">
        <v>0</v>
      </c>
      <c r="V83" s="29">
        <v>0</v>
      </c>
      <c r="W83" s="71"/>
      <c r="X83" s="92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</row>
    <row r="84" spans="1:42" ht="31.5">
      <c r="A84" s="91" t="s">
        <v>305</v>
      </c>
      <c r="B84" s="71"/>
      <c r="C84" s="30"/>
      <c r="D84" s="30"/>
      <c r="E84" s="30"/>
      <c r="F84" s="30"/>
      <c r="G84" s="30"/>
      <c r="H84" s="30"/>
      <c r="I84" s="30"/>
      <c r="J84" s="30"/>
      <c r="K84" s="80"/>
      <c r="L84" s="30"/>
      <c r="M84" s="30"/>
      <c r="N84" s="30"/>
      <c r="O84" s="30"/>
      <c r="P84" s="80"/>
      <c r="Q84" s="30"/>
      <c r="R84" s="30"/>
      <c r="S84" s="30"/>
      <c r="T84" s="80"/>
      <c r="U84" s="80"/>
      <c r="V84" s="80"/>
      <c r="W84" s="71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</row>
    <row r="85" spans="1:42" ht="31.5">
      <c r="A85" s="91" t="s">
        <v>306</v>
      </c>
      <c r="B85" s="71"/>
      <c r="C85" s="30"/>
      <c r="D85" s="30"/>
      <c r="E85" s="30"/>
      <c r="F85" s="30"/>
      <c r="G85" s="30"/>
      <c r="H85" s="30"/>
      <c r="I85" s="30"/>
      <c r="J85" s="30"/>
      <c r="K85" s="80"/>
      <c r="L85" s="30"/>
      <c r="M85" s="30"/>
      <c r="N85" s="30"/>
      <c r="O85" s="30"/>
      <c r="P85" s="80"/>
      <c r="Q85" s="30"/>
      <c r="R85" s="30"/>
      <c r="S85" s="30"/>
      <c r="T85" s="80"/>
      <c r="U85" s="80"/>
      <c r="V85" s="80"/>
      <c r="W85" s="71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</row>
    <row r="86" spans="1:42" ht="15.75">
      <c r="A86" s="68" t="s">
        <v>308</v>
      </c>
      <c r="B86" s="68"/>
      <c r="C86" s="96"/>
      <c r="D86" s="96"/>
      <c r="E86" s="96"/>
      <c r="F86" s="96"/>
      <c r="G86" s="96"/>
      <c r="H86" s="96"/>
      <c r="I86" s="96"/>
      <c r="J86" s="96"/>
      <c r="K86" s="70"/>
      <c r="L86" s="96"/>
      <c r="M86" s="96"/>
      <c r="N86" s="96"/>
      <c r="O86" s="96"/>
      <c r="P86" s="70"/>
      <c r="Q86" s="96"/>
      <c r="R86" s="96"/>
      <c r="S86" s="96"/>
      <c r="T86" s="70"/>
      <c r="U86" s="70"/>
      <c r="V86" s="70"/>
      <c r="W86" s="68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</row>
    <row r="87" spans="1:42" ht="15.75">
      <c r="A87" s="86" t="s">
        <v>136</v>
      </c>
      <c r="B87" s="86"/>
      <c r="C87" s="7">
        <v>1</v>
      </c>
      <c r="D87" s="7">
        <v>1</v>
      </c>
      <c r="E87" s="7">
        <v>1</v>
      </c>
      <c r="F87" s="7">
        <v>1</v>
      </c>
      <c r="G87" s="7">
        <v>1</v>
      </c>
      <c r="H87" s="7"/>
      <c r="I87" s="7">
        <v>1</v>
      </c>
      <c r="J87" s="7">
        <v>1</v>
      </c>
      <c r="K87" s="29"/>
      <c r="L87" s="7">
        <v>1</v>
      </c>
      <c r="M87" s="7">
        <v>1</v>
      </c>
      <c r="N87" s="7">
        <v>1</v>
      </c>
      <c r="O87" s="7">
        <v>1</v>
      </c>
      <c r="P87" s="29">
        <v>1</v>
      </c>
      <c r="Q87" s="7">
        <v>1</v>
      </c>
      <c r="R87" s="7">
        <v>1</v>
      </c>
      <c r="S87" s="7">
        <v>1</v>
      </c>
      <c r="T87" s="29">
        <v>1</v>
      </c>
      <c r="U87" s="29">
        <v>1</v>
      </c>
      <c r="V87" s="29">
        <v>1</v>
      </c>
      <c r="W87" s="86"/>
      <c r="X87" s="29">
        <v>1</v>
      </c>
      <c r="Y87" s="29">
        <v>1</v>
      </c>
      <c r="Z87" s="29">
        <v>1</v>
      </c>
      <c r="AA87" s="29">
        <v>1</v>
      </c>
      <c r="AB87" s="29">
        <v>1</v>
      </c>
      <c r="AC87" s="29">
        <v>1</v>
      </c>
      <c r="AD87" s="29">
        <v>1</v>
      </c>
      <c r="AE87" s="29">
        <v>1</v>
      </c>
      <c r="AF87" s="29">
        <v>250</v>
      </c>
      <c r="AG87" s="29">
        <v>1</v>
      </c>
      <c r="AH87" s="29">
        <v>1</v>
      </c>
      <c r="AI87" s="29">
        <v>1</v>
      </c>
      <c r="AJ87" s="29">
        <v>1</v>
      </c>
      <c r="AK87" s="29">
        <v>1</v>
      </c>
      <c r="AL87" s="29">
        <v>1</v>
      </c>
      <c r="AM87" s="29">
        <v>1</v>
      </c>
      <c r="AN87" s="29">
        <v>1</v>
      </c>
      <c r="AO87" s="29">
        <v>1</v>
      </c>
      <c r="AP87" s="29">
        <v>1</v>
      </c>
    </row>
    <row r="88" spans="1:42" ht="15.75">
      <c r="A88" s="71" t="s">
        <v>300</v>
      </c>
      <c r="B88" s="86"/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/>
      <c r="I88" s="7">
        <v>0</v>
      </c>
      <c r="J88" s="7">
        <v>0</v>
      </c>
      <c r="K88" s="29"/>
      <c r="L88" s="7">
        <v>0</v>
      </c>
      <c r="M88" s="7">
        <v>0</v>
      </c>
      <c r="N88" s="7">
        <v>0</v>
      </c>
      <c r="O88" s="7">
        <v>0</v>
      </c>
      <c r="P88" s="29">
        <v>1</v>
      </c>
      <c r="Q88" s="7">
        <v>0</v>
      </c>
      <c r="R88" s="7">
        <v>0</v>
      </c>
      <c r="S88" s="7">
        <v>0</v>
      </c>
      <c r="T88" s="29">
        <v>0</v>
      </c>
      <c r="U88" s="29">
        <v>0</v>
      </c>
      <c r="V88" s="29">
        <v>1</v>
      </c>
      <c r="W88" s="86"/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255</v>
      </c>
      <c r="AG88" s="29">
        <v>0</v>
      </c>
      <c r="AH88" s="29">
        <v>0</v>
      </c>
      <c r="AI88" s="29">
        <v>0</v>
      </c>
      <c r="AJ88" s="29">
        <v>0</v>
      </c>
      <c r="AK88" s="29">
        <v>1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</row>
    <row r="89" spans="1:42" ht="15.75">
      <c r="A89" s="71" t="s">
        <v>137</v>
      </c>
      <c r="B89" s="71"/>
      <c r="C89" s="7">
        <v>2</v>
      </c>
      <c r="D89" s="7">
        <v>2</v>
      </c>
      <c r="E89" s="7">
        <v>2</v>
      </c>
      <c r="F89" s="7">
        <v>2</v>
      </c>
      <c r="G89" s="7">
        <v>2</v>
      </c>
      <c r="H89" s="7"/>
      <c r="I89" s="7">
        <v>2</v>
      </c>
      <c r="J89" s="7">
        <v>2</v>
      </c>
      <c r="K89" s="29"/>
      <c r="L89" s="7">
        <v>2</v>
      </c>
      <c r="M89" s="7">
        <v>2</v>
      </c>
      <c r="N89" s="7">
        <v>2</v>
      </c>
      <c r="O89" s="7">
        <v>2</v>
      </c>
      <c r="P89" s="29">
        <v>2</v>
      </c>
      <c r="Q89" s="7">
        <v>2</v>
      </c>
      <c r="R89" s="7">
        <v>2</v>
      </c>
      <c r="S89" s="7">
        <v>2</v>
      </c>
      <c r="T89" s="29">
        <v>2</v>
      </c>
      <c r="U89" s="29">
        <v>2</v>
      </c>
      <c r="V89" s="29">
        <v>2</v>
      </c>
      <c r="W89" s="71"/>
      <c r="X89" s="29">
        <v>2</v>
      </c>
      <c r="Y89" s="29">
        <v>2</v>
      </c>
      <c r="Z89" s="29">
        <v>2</v>
      </c>
      <c r="AA89" s="29">
        <v>2</v>
      </c>
      <c r="AB89" s="29">
        <v>2</v>
      </c>
      <c r="AC89" s="29">
        <v>2</v>
      </c>
      <c r="AD89" s="29">
        <v>2</v>
      </c>
      <c r="AE89" s="29">
        <v>2</v>
      </c>
      <c r="AF89" s="29">
        <v>2</v>
      </c>
      <c r="AG89" s="29">
        <v>2</v>
      </c>
      <c r="AH89" s="29">
        <v>2</v>
      </c>
      <c r="AI89" s="29">
        <v>2</v>
      </c>
      <c r="AJ89" s="29">
        <v>2</v>
      </c>
      <c r="AK89" s="29">
        <v>2</v>
      </c>
      <c r="AL89" s="29">
        <v>2</v>
      </c>
      <c r="AM89" s="29">
        <v>2</v>
      </c>
      <c r="AN89" s="29">
        <v>2</v>
      </c>
      <c r="AO89" s="29">
        <v>2</v>
      </c>
      <c r="AP89" s="29">
        <v>2</v>
      </c>
    </row>
    <row r="90" spans="1:42" ht="15.75">
      <c r="A90" s="71" t="s">
        <v>138</v>
      </c>
      <c r="B90" s="71"/>
      <c r="C90" s="7" t="s">
        <v>139</v>
      </c>
      <c r="D90" s="7" t="s">
        <v>139</v>
      </c>
      <c r="E90" s="7" t="s">
        <v>101</v>
      </c>
      <c r="F90" s="7" t="s">
        <v>139</v>
      </c>
      <c r="G90" s="7" t="s">
        <v>139</v>
      </c>
      <c r="H90" s="7"/>
      <c r="I90" s="7" t="s">
        <v>139</v>
      </c>
      <c r="J90" s="7" t="s">
        <v>139</v>
      </c>
      <c r="K90" s="29"/>
      <c r="L90" s="7" t="s">
        <v>139</v>
      </c>
      <c r="M90" s="7" t="s">
        <v>139</v>
      </c>
      <c r="N90" s="7" t="s">
        <v>139</v>
      </c>
      <c r="O90" s="7" t="s">
        <v>139</v>
      </c>
      <c r="P90" s="92" t="s">
        <v>373</v>
      </c>
      <c r="Q90" s="7" t="s">
        <v>139</v>
      </c>
      <c r="R90" s="7" t="s">
        <v>139</v>
      </c>
      <c r="S90" s="7" t="s">
        <v>139</v>
      </c>
      <c r="T90" s="29" t="s">
        <v>139</v>
      </c>
      <c r="U90" s="29" t="s">
        <v>139</v>
      </c>
      <c r="V90" s="29" t="s">
        <v>100</v>
      </c>
      <c r="W90" s="71"/>
      <c r="X90" s="29" t="s">
        <v>139</v>
      </c>
      <c r="Y90" s="29" t="s">
        <v>139</v>
      </c>
      <c r="Z90" s="29" t="s">
        <v>101</v>
      </c>
      <c r="AA90" s="29" t="s">
        <v>139</v>
      </c>
      <c r="AB90" s="29" t="s">
        <v>139</v>
      </c>
      <c r="AC90" s="29" t="s">
        <v>101</v>
      </c>
      <c r="AD90" s="29" t="s">
        <v>139</v>
      </c>
      <c r="AE90" s="29" t="s">
        <v>139</v>
      </c>
      <c r="AF90" s="29" t="s">
        <v>139</v>
      </c>
      <c r="AG90" s="29" t="s">
        <v>139</v>
      </c>
      <c r="AH90" s="29" t="s">
        <v>139</v>
      </c>
      <c r="AI90" s="29" t="s">
        <v>139</v>
      </c>
      <c r="AJ90" s="29" t="s">
        <v>139</v>
      </c>
      <c r="AK90" s="92" t="s">
        <v>373</v>
      </c>
      <c r="AL90" s="29" t="s">
        <v>139</v>
      </c>
      <c r="AM90" s="29" t="s">
        <v>139</v>
      </c>
      <c r="AN90" s="29" t="s">
        <v>139</v>
      </c>
      <c r="AO90" s="29" t="s">
        <v>139</v>
      </c>
      <c r="AP90" s="29" t="s">
        <v>139</v>
      </c>
    </row>
    <row r="91" spans="1:42" ht="15.75">
      <c r="A91" s="71" t="s">
        <v>140</v>
      </c>
      <c r="B91" s="71"/>
      <c r="C91" s="34">
        <f>2/3</f>
        <v>0.66666666666666663</v>
      </c>
      <c r="D91" s="107">
        <f>5/6</f>
        <v>0.83333333333333337</v>
      </c>
      <c r="E91" s="107">
        <f>1/2</f>
        <v>0.5</v>
      </c>
      <c r="F91" s="107">
        <f>2/3</f>
        <v>0.66666666666666663</v>
      </c>
      <c r="G91" s="107">
        <f>2/3</f>
        <v>0.66666666666666663</v>
      </c>
      <c r="H91" s="107"/>
      <c r="I91" s="107">
        <f>2/3</f>
        <v>0.66666666666666663</v>
      </c>
      <c r="J91" s="107">
        <f>2/3</f>
        <v>0.66666666666666663</v>
      </c>
      <c r="K91" s="88"/>
      <c r="L91" s="107">
        <f>2/3</f>
        <v>0.66666666666666663</v>
      </c>
      <c r="M91" s="107">
        <f>2/3</f>
        <v>0.66666666666666663</v>
      </c>
      <c r="N91" s="107">
        <f>2/3</f>
        <v>0.66666666666666663</v>
      </c>
      <c r="O91" s="34">
        <f>2/3</f>
        <v>0.66666666666666663</v>
      </c>
      <c r="P91" s="113" t="s">
        <v>374</v>
      </c>
      <c r="Q91" s="107">
        <f>2/3</f>
        <v>0.66666666666666663</v>
      </c>
      <c r="R91" s="107">
        <f>2/3</f>
        <v>0.66666666666666663</v>
      </c>
      <c r="S91" s="107">
        <f>2/3</f>
        <v>0.66666666666666663</v>
      </c>
      <c r="T91" s="88">
        <f>2/3</f>
        <v>0.66666666666666663</v>
      </c>
      <c r="U91" s="88">
        <f>2/3</f>
        <v>0.66666666666666663</v>
      </c>
      <c r="V91" s="88">
        <v>0.66666666666666663</v>
      </c>
      <c r="W91" s="71"/>
      <c r="X91" s="87">
        <f>2/3</f>
        <v>0.66666666666666663</v>
      </c>
      <c r="Y91" s="88">
        <f>5/6</f>
        <v>0.83333333333333337</v>
      </c>
      <c r="Z91" s="88">
        <f>1/2</f>
        <v>0.5</v>
      </c>
      <c r="AA91" s="88">
        <f>2/3</f>
        <v>0.66666666666666663</v>
      </c>
      <c r="AB91" s="88">
        <f>2/3</f>
        <v>0.66666666666666663</v>
      </c>
      <c r="AC91" s="88">
        <f>1/2</f>
        <v>0.5</v>
      </c>
      <c r="AD91" s="88">
        <f>2/3</f>
        <v>0.66666666666666663</v>
      </c>
      <c r="AE91" s="88">
        <f>2/3</f>
        <v>0.66666666666666663</v>
      </c>
      <c r="AF91" s="88">
        <f>3/4</f>
        <v>0.75</v>
      </c>
      <c r="AG91" s="88">
        <f>2/3</f>
        <v>0.66666666666666663</v>
      </c>
      <c r="AH91" s="88">
        <f>2/3</f>
        <v>0.66666666666666663</v>
      </c>
      <c r="AI91" s="88">
        <f>2/3</f>
        <v>0.66666666666666663</v>
      </c>
      <c r="AJ91" s="88">
        <f>2/3</f>
        <v>0.66666666666666663</v>
      </c>
      <c r="AK91" s="113" t="s">
        <v>374</v>
      </c>
      <c r="AL91" s="88">
        <f>2/3</f>
        <v>0.66666666666666663</v>
      </c>
      <c r="AM91" s="88">
        <f>2/3</f>
        <v>0.66666666666666663</v>
      </c>
      <c r="AN91" s="88">
        <f>2/3</f>
        <v>0.66666666666666663</v>
      </c>
      <c r="AO91" s="88">
        <f>2/3</f>
        <v>0.66666666666666663</v>
      </c>
      <c r="AP91" s="88">
        <f>2/3</f>
        <v>0.66666666666666663</v>
      </c>
    </row>
    <row r="92" spans="1:42" ht="15.75">
      <c r="A92" s="71" t="s">
        <v>146</v>
      </c>
      <c r="B92" s="71"/>
      <c r="C92" s="7">
        <v>64800</v>
      </c>
      <c r="D92" s="7">
        <v>64800</v>
      </c>
      <c r="E92" s="7">
        <v>64800</v>
      </c>
      <c r="F92" s="7">
        <v>64800</v>
      </c>
      <c r="G92" s="7">
        <v>64800</v>
      </c>
      <c r="H92" s="7"/>
      <c r="I92" s="7">
        <v>64800</v>
      </c>
      <c r="J92" s="7">
        <v>64800</v>
      </c>
      <c r="K92" s="29"/>
      <c r="L92" s="7">
        <v>64800</v>
      </c>
      <c r="M92" s="7">
        <v>64800</v>
      </c>
      <c r="N92" s="7">
        <v>64800</v>
      </c>
      <c r="O92" s="7">
        <v>64800</v>
      </c>
      <c r="P92" s="29">
        <v>64800</v>
      </c>
      <c r="Q92" s="7">
        <v>64800</v>
      </c>
      <c r="R92" s="7">
        <v>64800</v>
      </c>
      <c r="S92" s="7">
        <v>64800</v>
      </c>
      <c r="T92" s="29">
        <v>64800</v>
      </c>
      <c r="U92" s="29">
        <v>64800</v>
      </c>
      <c r="V92" s="29">
        <v>64800</v>
      </c>
      <c r="W92" s="71"/>
      <c r="X92" s="29">
        <v>64800</v>
      </c>
      <c r="Y92" s="29">
        <v>64800</v>
      </c>
      <c r="Z92" s="29">
        <v>64800</v>
      </c>
      <c r="AA92" s="29">
        <v>64800</v>
      </c>
      <c r="AB92" s="29">
        <v>64800</v>
      </c>
      <c r="AC92" s="29">
        <v>64800</v>
      </c>
      <c r="AD92" s="29">
        <v>64800</v>
      </c>
      <c r="AE92" s="29">
        <v>64800</v>
      </c>
      <c r="AF92" s="29">
        <v>64800</v>
      </c>
      <c r="AG92" s="29">
        <v>64800</v>
      </c>
      <c r="AH92" s="29">
        <v>64800</v>
      </c>
      <c r="AI92" s="29">
        <v>64800</v>
      </c>
      <c r="AJ92" s="29">
        <v>64800</v>
      </c>
      <c r="AK92" s="29">
        <v>64800</v>
      </c>
      <c r="AL92" s="29">
        <v>64800</v>
      </c>
      <c r="AM92" s="29">
        <v>64800</v>
      </c>
      <c r="AN92" s="29">
        <v>64800</v>
      </c>
      <c r="AO92" s="29">
        <v>64800</v>
      </c>
      <c r="AP92" s="29">
        <v>64800</v>
      </c>
    </row>
    <row r="93" spans="1:42" ht="15.75">
      <c r="A93" s="71" t="s">
        <v>147</v>
      </c>
      <c r="B93" s="71"/>
      <c r="C93" s="7" t="s">
        <v>88</v>
      </c>
      <c r="D93" s="7" t="s">
        <v>88</v>
      </c>
      <c r="E93" s="7" t="s">
        <v>88</v>
      </c>
      <c r="F93" s="7" t="s">
        <v>88</v>
      </c>
      <c r="G93" s="7" t="s">
        <v>88</v>
      </c>
      <c r="H93" s="7"/>
      <c r="I93" s="7" t="s">
        <v>88</v>
      </c>
      <c r="J93" s="7" t="s">
        <v>88</v>
      </c>
      <c r="K93" s="29"/>
      <c r="L93" s="7" t="s">
        <v>88</v>
      </c>
      <c r="M93" s="7" t="s">
        <v>88</v>
      </c>
      <c r="N93" s="7" t="s">
        <v>88</v>
      </c>
      <c r="O93" s="7" t="s">
        <v>88</v>
      </c>
      <c r="P93" s="92" t="s">
        <v>371</v>
      </c>
      <c r="Q93" s="7" t="s">
        <v>88</v>
      </c>
      <c r="R93" s="7" t="s">
        <v>88</v>
      </c>
      <c r="S93" s="7" t="s">
        <v>88</v>
      </c>
      <c r="T93" s="29" t="s">
        <v>88</v>
      </c>
      <c r="U93" s="29" t="s">
        <v>88</v>
      </c>
      <c r="V93" s="29" t="s">
        <v>89</v>
      </c>
      <c r="W93" s="71"/>
      <c r="X93" s="29" t="s">
        <v>88</v>
      </c>
      <c r="Y93" s="29" t="s">
        <v>88</v>
      </c>
      <c r="Z93" s="29" t="s">
        <v>88</v>
      </c>
      <c r="AA93" s="29" t="s">
        <v>88</v>
      </c>
      <c r="AB93" s="29" t="s">
        <v>88</v>
      </c>
      <c r="AC93" s="29" t="s">
        <v>88</v>
      </c>
      <c r="AD93" s="29" t="s">
        <v>88</v>
      </c>
      <c r="AE93" s="29" t="s">
        <v>88</v>
      </c>
      <c r="AF93" s="29" t="s">
        <v>88</v>
      </c>
      <c r="AG93" s="29" t="s">
        <v>88</v>
      </c>
      <c r="AH93" s="29" t="s">
        <v>88</v>
      </c>
      <c r="AI93" s="29" t="s">
        <v>88</v>
      </c>
      <c r="AJ93" s="29" t="s">
        <v>88</v>
      </c>
      <c r="AK93" s="92" t="s">
        <v>371</v>
      </c>
      <c r="AL93" s="29" t="s">
        <v>88</v>
      </c>
      <c r="AM93" s="29" t="s">
        <v>88</v>
      </c>
      <c r="AN93" s="29" t="s">
        <v>88</v>
      </c>
      <c r="AO93" s="29" t="s">
        <v>88</v>
      </c>
      <c r="AP93" s="29" t="s">
        <v>88</v>
      </c>
    </row>
    <row r="94" spans="1:42" ht="15.75">
      <c r="A94" s="71" t="s">
        <v>148</v>
      </c>
      <c r="B94" s="71"/>
      <c r="C94" s="7" t="s">
        <v>301</v>
      </c>
      <c r="D94" s="7" t="s">
        <v>301</v>
      </c>
      <c r="E94" s="7" t="s">
        <v>301</v>
      </c>
      <c r="F94" s="7" t="s">
        <v>301</v>
      </c>
      <c r="G94" s="7" t="s">
        <v>301</v>
      </c>
      <c r="H94" s="7"/>
      <c r="I94" s="7" t="s">
        <v>301</v>
      </c>
      <c r="J94" s="7" t="s">
        <v>301</v>
      </c>
      <c r="K94" s="29"/>
      <c r="L94" s="7" t="s">
        <v>301</v>
      </c>
      <c r="M94" s="7" t="s">
        <v>301</v>
      </c>
      <c r="N94" s="7" t="s">
        <v>301</v>
      </c>
      <c r="O94" s="7" t="s">
        <v>301</v>
      </c>
      <c r="P94" s="85">
        <v>32</v>
      </c>
      <c r="Q94" s="7" t="s">
        <v>301</v>
      </c>
      <c r="R94" s="7" t="s">
        <v>301</v>
      </c>
      <c r="S94" s="7" t="s">
        <v>301</v>
      </c>
      <c r="T94" s="29" t="s">
        <v>301</v>
      </c>
      <c r="U94" s="29" t="s">
        <v>301</v>
      </c>
      <c r="V94" s="29">
        <v>30</v>
      </c>
      <c r="W94" s="71"/>
      <c r="X94" s="29" t="s">
        <v>301</v>
      </c>
      <c r="Y94" s="29" t="s">
        <v>301</v>
      </c>
      <c r="Z94" s="29" t="s">
        <v>301</v>
      </c>
      <c r="AA94" s="29" t="s">
        <v>301</v>
      </c>
      <c r="AB94" s="29" t="s">
        <v>301</v>
      </c>
      <c r="AC94" s="29" t="s">
        <v>301</v>
      </c>
      <c r="AD94" s="29" t="s">
        <v>301</v>
      </c>
      <c r="AE94" s="29" t="s">
        <v>301</v>
      </c>
      <c r="AF94" s="29" t="s">
        <v>301</v>
      </c>
      <c r="AG94" s="29" t="s">
        <v>301</v>
      </c>
      <c r="AH94" s="29" t="s">
        <v>301</v>
      </c>
      <c r="AI94" s="29" t="s">
        <v>301</v>
      </c>
      <c r="AJ94" s="29" t="s">
        <v>301</v>
      </c>
      <c r="AK94" s="85">
        <v>32</v>
      </c>
      <c r="AL94" s="29" t="s">
        <v>301</v>
      </c>
      <c r="AM94" s="29" t="s">
        <v>301</v>
      </c>
      <c r="AN94" s="29" t="s">
        <v>301</v>
      </c>
      <c r="AO94" s="29" t="s">
        <v>301</v>
      </c>
      <c r="AP94" s="29" t="s">
        <v>301</v>
      </c>
    </row>
    <row r="95" spans="1:42" ht="15.75">
      <c r="A95" s="71" t="s">
        <v>150</v>
      </c>
      <c r="B95" s="71"/>
      <c r="C95" s="7">
        <v>57</v>
      </c>
      <c r="D95" s="7">
        <v>53</v>
      </c>
      <c r="E95" s="7">
        <v>14</v>
      </c>
      <c r="F95" s="7">
        <v>50</v>
      </c>
      <c r="G95" s="7">
        <v>57</v>
      </c>
      <c r="H95" s="7"/>
      <c r="I95" s="7">
        <v>50</v>
      </c>
      <c r="J95" s="7">
        <v>50</v>
      </c>
      <c r="K95" s="29"/>
      <c r="L95" s="7">
        <v>50</v>
      </c>
      <c r="M95" s="7">
        <v>50</v>
      </c>
      <c r="N95" s="7">
        <v>50</v>
      </c>
      <c r="O95" s="7">
        <v>57</v>
      </c>
      <c r="P95" s="85">
        <v>32</v>
      </c>
      <c r="Q95" s="7">
        <v>50</v>
      </c>
      <c r="R95" s="7">
        <v>50</v>
      </c>
      <c r="S95" s="7">
        <v>50</v>
      </c>
      <c r="T95" s="29">
        <v>50</v>
      </c>
      <c r="U95" s="29">
        <v>50</v>
      </c>
      <c r="V95" s="29">
        <v>30</v>
      </c>
      <c r="W95" s="71"/>
      <c r="X95" s="29">
        <v>57</v>
      </c>
      <c r="Y95" s="29">
        <v>53</v>
      </c>
      <c r="Z95" s="29">
        <v>14</v>
      </c>
      <c r="AA95" s="29">
        <v>50</v>
      </c>
      <c r="AB95" s="29">
        <v>57</v>
      </c>
      <c r="AC95" s="29">
        <v>14</v>
      </c>
      <c r="AD95" s="29">
        <v>50</v>
      </c>
      <c r="AE95" s="29">
        <v>50</v>
      </c>
      <c r="AF95" s="29">
        <v>13</v>
      </c>
      <c r="AG95" s="29">
        <v>50</v>
      </c>
      <c r="AH95" s="29">
        <v>50</v>
      </c>
      <c r="AI95" s="29">
        <v>50</v>
      </c>
      <c r="AJ95" s="29">
        <v>57</v>
      </c>
      <c r="AK95" s="85">
        <v>32</v>
      </c>
      <c r="AL95" s="29">
        <v>50</v>
      </c>
      <c r="AM95" s="29">
        <v>50</v>
      </c>
      <c r="AN95" s="29">
        <v>50</v>
      </c>
      <c r="AO95" s="29">
        <v>50</v>
      </c>
      <c r="AP95" s="29">
        <v>50</v>
      </c>
    </row>
    <row r="96" spans="1:42" ht="15.75">
      <c r="A96" s="71" t="s">
        <v>152</v>
      </c>
      <c r="B96" s="71"/>
      <c r="C96" s="7">
        <v>1</v>
      </c>
      <c r="D96" s="7">
        <v>1</v>
      </c>
      <c r="E96" s="7">
        <v>1</v>
      </c>
      <c r="F96" s="7">
        <v>1</v>
      </c>
      <c r="G96" s="7">
        <v>1</v>
      </c>
      <c r="H96" s="7"/>
      <c r="I96" s="7">
        <v>1</v>
      </c>
      <c r="J96" s="7">
        <v>1</v>
      </c>
      <c r="K96" s="29"/>
      <c r="L96" s="7">
        <v>1</v>
      </c>
      <c r="M96" s="7">
        <v>1</v>
      </c>
      <c r="N96" s="7">
        <v>1</v>
      </c>
      <c r="O96" s="7">
        <v>1</v>
      </c>
      <c r="P96" s="29">
        <v>1</v>
      </c>
      <c r="Q96" s="7">
        <v>1</v>
      </c>
      <c r="R96" s="7">
        <v>1</v>
      </c>
      <c r="S96" s="7">
        <v>1</v>
      </c>
      <c r="T96" s="29">
        <v>1</v>
      </c>
      <c r="U96" s="29">
        <v>1</v>
      </c>
      <c r="V96" s="29">
        <v>1</v>
      </c>
      <c r="W96" s="71"/>
      <c r="X96" s="29">
        <v>1</v>
      </c>
      <c r="Y96" s="29">
        <v>1</v>
      </c>
      <c r="Z96" s="29">
        <v>1</v>
      </c>
      <c r="AA96" s="29">
        <v>1</v>
      </c>
      <c r="AB96" s="29">
        <v>1</v>
      </c>
      <c r="AC96" s="29">
        <v>1</v>
      </c>
      <c r="AD96" s="29">
        <v>1</v>
      </c>
      <c r="AE96" s="29">
        <v>1</v>
      </c>
      <c r="AF96" s="29">
        <v>1</v>
      </c>
      <c r="AG96" s="29">
        <v>1</v>
      </c>
      <c r="AH96" s="29">
        <v>1</v>
      </c>
      <c r="AI96" s="29">
        <v>1</v>
      </c>
      <c r="AJ96" s="29">
        <v>1</v>
      </c>
      <c r="AK96" s="29">
        <v>1</v>
      </c>
      <c r="AL96" s="29">
        <v>1</v>
      </c>
      <c r="AM96" s="29">
        <v>1</v>
      </c>
      <c r="AN96" s="29">
        <v>1</v>
      </c>
      <c r="AO96" s="29">
        <v>1</v>
      </c>
      <c r="AP96" s="29">
        <v>1</v>
      </c>
    </row>
    <row r="97" spans="1:42" ht="15.75">
      <c r="A97" s="71" t="s">
        <v>154</v>
      </c>
      <c r="B97" s="71"/>
      <c r="C97" s="7">
        <v>1</v>
      </c>
      <c r="D97" s="7">
        <v>1</v>
      </c>
      <c r="E97" s="7">
        <v>1</v>
      </c>
      <c r="F97" s="7">
        <v>1</v>
      </c>
      <c r="G97" s="7">
        <v>1</v>
      </c>
      <c r="H97" s="7"/>
      <c r="I97" s="7">
        <v>1</v>
      </c>
      <c r="J97" s="7">
        <v>1</v>
      </c>
      <c r="K97" s="29"/>
      <c r="L97" s="7">
        <v>1</v>
      </c>
      <c r="M97" s="7">
        <v>1</v>
      </c>
      <c r="N97" s="7">
        <v>1</v>
      </c>
      <c r="O97" s="7">
        <v>1</v>
      </c>
      <c r="P97" s="29">
        <v>1</v>
      </c>
      <c r="Q97" s="7">
        <v>1</v>
      </c>
      <c r="R97" s="7">
        <v>1</v>
      </c>
      <c r="S97" s="7">
        <v>1</v>
      </c>
      <c r="T97" s="29">
        <v>1</v>
      </c>
      <c r="U97" s="29">
        <v>1</v>
      </c>
      <c r="V97" s="29">
        <v>1</v>
      </c>
      <c r="W97" s="71"/>
      <c r="X97" s="29">
        <v>1</v>
      </c>
      <c r="Y97" s="29">
        <v>1</v>
      </c>
      <c r="Z97" s="29">
        <v>1</v>
      </c>
      <c r="AA97" s="29">
        <v>1</v>
      </c>
      <c r="AB97" s="29">
        <v>1</v>
      </c>
      <c r="AC97" s="29">
        <v>1</v>
      </c>
      <c r="AD97" s="29">
        <v>1</v>
      </c>
      <c r="AE97" s="29">
        <v>1</v>
      </c>
      <c r="AF97" s="29">
        <v>1</v>
      </c>
      <c r="AG97" s="29">
        <v>1</v>
      </c>
      <c r="AH97" s="29">
        <v>1</v>
      </c>
      <c r="AI97" s="29">
        <v>1</v>
      </c>
      <c r="AJ97" s="29">
        <v>1</v>
      </c>
      <c r="AK97" s="29">
        <v>1</v>
      </c>
      <c r="AL97" s="29">
        <v>1</v>
      </c>
      <c r="AM97" s="29">
        <v>1</v>
      </c>
      <c r="AN97" s="29">
        <v>1</v>
      </c>
      <c r="AO97" s="29">
        <v>1</v>
      </c>
      <c r="AP97" s="29">
        <v>1</v>
      </c>
    </row>
    <row r="98" spans="1:42" ht="15.75">
      <c r="A98" s="71" t="s">
        <v>155</v>
      </c>
      <c r="B98" s="71"/>
      <c r="C98" s="7">
        <v>1</v>
      </c>
      <c r="D98" s="7">
        <v>1</v>
      </c>
      <c r="E98" s="7">
        <v>1</v>
      </c>
      <c r="F98" s="7">
        <v>1</v>
      </c>
      <c r="G98" s="7">
        <v>1</v>
      </c>
      <c r="H98" s="7"/>
      <c r="I98" s="7">
        <v>1</v>
      </c>
      <c r="J98" s="7">
        <v>1</v>
      </c>
      <c r="K98" s="29"/>
      <c r="L98" s="7">
        <v>1</v>
      </c>
      <c r="M98" s="7">
        <v>1</v>
      </c>
      <c r="N98" s="7">
        <v>1</v>
      </c>
      <c r="O98" s="7">
        <v>1</v>
      </c>
      <c r="P98" s="29">
        <v>1</v>
      </c>
      <c r="Q98" s="7">
        <v>1</v>
      </c>
      <c r="R98" s="7">
        <v>1</v>
      </c>
      <c r="S98" s="7">
        <v>1</v>
      </c>
      <c r="T98" s="29">
        <v>1</v>
      </c>
      <c r="U98" s="29">
        <v>1</v>
      </c>
      <c r="V98" s="29">
        <v>1</v>
      </c>
      <c r="W98" s="71"/>
      <c r="X98" s="29">
        <v>1</v>
      </c>
      <c r="Y98" s="29">
        <v>1</v>
      </c>
      <c r="Z98" s="29">
        <v>1</v>
      </c>
      <c r="AA98" s="29">
        <v>1</v>
      </c>
      <c r="AB98" s="29">
        <v>1</v>
      </c>
      <c r="AC98" s="29">
        <v>1</v>
      </c>
      <c r="AD98" s="29">
        <v>1</v>
      </c>
      <c r="AE98" s="29">
        <v>1</v>
      </c>
      <c r="AF98" s="29">
        <v>1</v>
      </c>
      <c r="AG98" s="29">
        <v>1</v>
      </c>
      <c r="AH98" s="29">
        <v>1</v>
      </c>
      <c r="AI98" s="29">
        <v>1</v>
      </c>
      <c r="AJ98" s="29">
        <v>1</v>
      </c>
      <c r="AK98" s="29">
        <v>1</v>
      </c>
      <c r="AL98" s="29">
        <v>1</v>
      </c>
      <c r="AM98" s="29">
        <v>1</v>
      </c>
      <c r="AN98" s="29">
        <v>1</v>
      </c>
      <c r="AO98" s="29">
        <v>1</v>
      </c>
      <c r="AP98" s="29">
        <v>1</v>
      </c>
    </row>
    <row r="99" spans="1:42" ht="15.75">
      <c r="A99" s="71" t="s">
        <v>302</v>
      </c>
      <c r="B99" s="71"/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/>
      <c r="I99" s="7">
        <v>0</v>
      </c>
      <c r="J99" s="7">
        <v>0</v>
      </c>
      <c r="K99" s="29"/>
      <c r="L99" s="7">
        <v>0</v>
      </c>
      <c r="M99" s="7">
        <v>0</v>
      </c>
      <c r="N99" s="7">
        <v>0</v>
      </c>
      <c r="O99" s="7">
        <v>0</v>
      </c>
      <c r="P99" s="29">
        <v>0</v>
      </c>
      <c r="Q99" s="7">
        <v>0</v>
      </c>
      <c r="R99" s="7">
        <v>0</v>
      </c>
      <c r="S99" s="7">
        <v>0</v>
      </c>
      <c r="T99" s="29">
        <v>0</v>
      </c>
      <c r="U99" s="29">
        <v>0</v>
      </c>
      <c r="V99" s="29">
        <v>0</v>
      </c>
      <c r="W99" s="71"/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</row>
    <row r="100" spans="1:42" ht="15.75">
      <c r="A100" s="89" t="s">
        <v>158</v>
      </c>
      <c r="B100" s="68"/>
      <c r="C100" s="96"/>
      <c r="D100" s="96"/>
      <c r="E100" s="96"/>
      <c r="F100" s="96"/>
      <c r="G100" s="96"/>
      <c r="H100" s="96"/>
      <c r="I100" s="96"/>
      <c r="J100" s="96"/>
      <c r="K100" s="70"/>
      <c r="L100" s="96"/>
      <c r="M100" s="96"/>
      <c r="N100" s="96"/>
      <c r="O100" s="96"/>
      <c r="P100" s="70"/>
      <c r="Q100" s="96"/>
      <c r="R100" s="96"/>
      <c r="S100" s="96"/>
      <c r="T100" s="70"/>
      <c r="U100" s="70"/>
      <c r="V100" s="70"/>
      <c r="W100" s="68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</row>
    <row r="101" spans="1:42" ht="15.75">
      <c r="A101" s="71" t="s">
        <v>159</v>
      </c>
      <c r="B101" s="71"/>
      <c r="C101" s="7" t="s">
        <v>160</v>
      </c>
      <c r="D101" s="7" t="s">
        <v>160</v>
      </c>
      <c r="E101" s="7" t="s">
        <v>160</v>
      </c>
      <c r="F101" s="7" t="s">
        <v>160</v>
      </c>
      <c r="G101" s="7" t="s">
        <v>160</v>
      </c>
      <c r="H101" s="7"/>
      <c r="I101" s="7" t="s">
        <v>160</v>
      </c>
      <c r="J101" s="7" t="s">
        <v>160</v>
      </c>
      <c r="K101" s="29"/>
      <c r="L101" s="7" t="s">
        <v>160</v>
      </c>
      <c r="M101" s="7" t="s">
        <v>160</v>
      </c>
      <c r="N101" s="7" t="s">
        <v>160</v>
      </c>
      <c r="O101" s="7" t="s">
        <v>160</v>
      </c>
      <c r="P101" s="29" t="s">
        <v>160</v>
      </c>
      <c r="Q101" s="7" t="s">
        <v>160</v>
      </c>
      <c r="R101" s="7" t="s">
        <v>160</v>
      </c>
      <c r="S101" s="7" t="s">
        <v>160</v>
      </c>
      <c r="T101" s="29" t="s">
        <v>160</v>
      </c>
      <c r="U101" s="29" t="s">
        <v>162</v>
      </c>
      <c r="V101" s="29" t="s">
        <v>160</v>
      </c>
      <c r="W101" s="71"/>
      <c r="X101" s="29" t="s">
        <v>160</v>
      </c>
      <c r="Y101" s="29" t="s">
        <v>160</v>
      </c>
      <c r="Z101" s="29" t="s">
        <v>160</v>
      </c>
      <c r="AA101" s="29" t="s">
        <v>160</v>
      </c>
      <c r="AB101" s="29" t="s">
        <v>160</v>
      </c>
      <c r="AC101" s="29" t="s">
        <v>160</v>
      </c>
      <c r="AD101" s="29" t="s">
        <v>160</v>
      </c>
      <c r="AE101" s="29" t="s">
        <v>160</v>
      </c>
      <c r="AF101" s="29" t="s">
        <v>160</v>
      </c>
      <c r="AG101" s="29" t="s">
        <v>160</v>
      </c>
      <c r="AH101" s="29" t="s">
        <v>160</v>
      </c>
      <c r="AI101" s="29" t="s">
        <v>160</v>
      </c>
      <c r="AJ101" s="29" t="s">
        <v>160</v>
      </c>
      <c r="AK101" s="29" t="s">
        <v>160</v>
      </c>
      <c r="AL101" s="29" t="s">
        <v>160</v>
      </c>
      <c r="AM101" s="29" t="s">
        <v>160</v>
      </c>
      <c r="AN101" s="29" t="s">
        <v>160</v>
      </c>
      <c r="AO101" s="29" t="s">
        <v>160</v>
      </c>
      <c r="AP101" s="29" t="s">
        <v>162</v>
      </c>
    </row>
    <row r="102" spans="1:42" ht="15.75">
      <c r="A102" s="71" t="s">
        <v>163</v>
      </c>
      <c r="B102" s="71"/>
      <c r="C102" s="7" t="s">
        <v>88</v>
      </c>
      <c r="D102" s="7" t="s">
        <v>88</v>
      </c>
      <c r="E102" s="7" t="s">
        <v>88</v>
      </c>
      <c r="F102" s="7" t="s">
        <v>88</v>
      </c>
      <c r="G102" s="7" t="s">
        <v>88</v>
      </c>
      <c r="H102" s="7"/>
      <c r="I102" s="7" t="s">
        <v>88</v>
      </c>
      <c r="J102" s="7" t="s">
        <v>88</v>
      </c>
      <c r="K102" s="29"/>
      <c r="L102" s="7" t="s">
        <v>88</v>
      </c>
      <c r="M102" s="7" t="s">
        <v>88</v>
      </c>
      <c r="N102" s="7" t="s">
        <v>88</v>
      </c>
      <c r="O102" s="7" t="s">
        <v>88</v>
      </c>
      <c r="P102" s="29" t="s">
        <v>88</v>
      </c>
      <c r="Q102" s="7" t="s">
        <v>88</v>
      </c>
      <c r="R102" s="7" t="s">
        <v>88</v>
      </c>
      <c r="S102" s="7" t="s">
        <v>88</v>
      </c>
      <c r="T102" s="29" t="s">
        <v>88</v>
      </c>
      <c r="U102" s="29" t="s">
        <v>88</v>
      </c>
      <c r="V102" s="29" t="s">
        <v>88</v>
      </c>
      <c r="W102" s="71"/>
      <c r="X102" s="29" t="s">
        <v>88</v>
      </c>
      <c r="Y102" s="29" t="s">
        <v>88</v>
      </c>
      <c r="Z102" s="29" t="s">
        <v>88</v>
      </c>
      <c r="AA102" s="29" t="s">
        <v>88</v>
      </c>
      <c r="AB102" s="29" t="s">
        <v>88</v>
      </c>
      <c r="AC102" s="29" t="s">
        <v>88</v>
      </c>
      <c r="AD102" s="29" t="s">
        <v>88</v>
      </c>
      <c r="AE102" s="29" t="s">
        <v>88</v>
      </c>
      <c r="AF102" s="29" t="s">
        <v>88</v>
      </c>
      <c r="AG102" s="29" t="s">
        <v>88</v>
      </c>
      <c r="AH102" s="29" t="s">
        <v>88</v>
      </c>
      <c r="AI102" s="29" t="s">
        <v>88</v>
      </c>
      <c r="AJ102" s="29" t="s">
        <v>88</v>
      </c>
      <c r="AK102" s="29" t="s">
        <v>88</v>
      </c>
      <c r="AL102" s="29" t="s">
        <v>88</v>
      </c>
      <c r="AM102" s="29" t="s">
        <v>88</v>
      </c>
      <c r="AN102" s="29" t="s">
        <v>88</v>
      </c>
      <c r="AO102" s="29" t="s">
        <v>88</v>
      </c>
      <c r="AP102" s="29" t="s">
        <v>88</v>
      </c>
    </row>
    <row r="103" spans="1:42" ht="15.75">
      <c r="A103" s="71" t="s">
        <v>165</v>
      </c>
      <c r="B103" s="71"/>
      <c r="C103" s="7">
        <f>197*8192</f>
        <v>1613824</v>
      </c>
      <c r="D103" s="7">
        <f>204*8192</f>
        <v>1671168</v>
      </c>
      <c r="E103" s="93">
        <f>128*8192</f>
        <v>1048576</v>
      </c>
      <c r="F103" s="7">
        <f>216*8192</f>
        <v>1769472</v>
      </c>
      <c r="G103" s="7">
        <f>197*8192</f>
        <v>1613824</v>
      </c>
      <c r="H103" s="7"/>
      <c r="I103" s="7">
        <f>216*8192</f>
        <v>1769472</v>
      </c>
      <c r="J103" s="7">
        <f>216*8192</f>
        <v>1769472</v>
      </c>
      <c r="K103" s="29"/>
      <c r="L103" s="7">
        <f>216*8192</f>
        <v>1769472</v>
      </c>
      <c r="M103" s="7">
        <f>216*8192</f>
        <v>1769472</v>
      </c>
      <c r="N103" s="7">
        <f>216*8192</f>
        <v>1769472</v>
      </c>
      <c r="O103" s="7">
        <f>197*8192</f>
        <v>1613824</v>
      </c>
      <c r="P103" s="29">
        <f>P78</f>
        <v>2097152</v>
      </c>
      <c r="Q103" s="93">
        <f>216*8192</f>
        <v>1769472</v>
      </c>
      <c r="R103" s="7">
        <f>216*8192</f>
        <v>1769472</v>
      </c>
      <c r="S103" s="7">
        <f>216*8192</f>
        <v>1769472</v>
      </c>
      <c r="T103" s="29">
        <f>T78</f>
        <v>1769472</v>
      </c>
      <c r="U103" s="29">
        <f>U78</f>
        <v>1769472</v>
      </c>
      <c r="V103" s="29">
        <v>2097152</v>
      </c>
      <c r="W103" s="71"/>
      <c r="X103" s="29">
        <f t="shared" ref="X103:AJ103" si="9">X78</f>
        <v>1671168</v>
      </c>
      <c r="Y103" s="29">
        <f t="shared" si="9"/>
        <v>1671168</v>
      </c>
      <c r="Z103" s="29">
        <f t="shared" si="9"/>
        <v>1048576</v>
      </c>
      <c r="AA103" s="29">
        <f t="shared" si="9"/>
        <v>1753088</v>
      </c>
      <c r="AB103" s="29">
        <f t="shared" si="9"/>
        <v>1671168</v>
      </c>
      <c r="AC103" s="29">
        <f t="shared" si="9"/>
        <v>1048576</v>
      </c>
      <c r="AD103" s="29">
        <f t="shared" si="9"/>
        <v>1753088</v>
      </c>
      <c r="AE103" s="29">
        <f t="shared" si="9"/>
        <v>1753088</v>
      </c>
      <c r="AF103" s="29">
        <f t="shared" si="9"/>
        <v>1048576</v>
      </c>
      <c r="AG103" s="29">
        <f t="shared" si="9"/>
        <v>1753088</v>
      </c>
      <c r="AH103" s="29">
        <f t="shared" si="9"/>
        <v>1769472</v>
      </c>
      <c r="AI103" s="29">
        <f t="shared" si="9"/>
        <v>1769472</v>
      </c>
      <c r="AJ103" s="29">
        <f t="shared" si="9"/>
        <v>1671168</v>
      </c>
      <c r="AK103" s="29">
        <f t="shared" ref="AK103:AP103" si="10">AK78</f>
        <v>2097152</v>
      </c>
      <c r="AL103" s="29">
        <f t="shared" si="10"/>
        <v>1769472</v>
      </c>
      <c r="AM103" s="29">
        <f t="shared" si="10"/>
        <v>1769472</v>
      </c>
      <c r="AN103" s="29">
        <f t="shared" si="10"/>
        <v>1753088</v>
      </c>
      <c r="AO103" s="29">
        <f t="shared" si="10"/>
        <v>1769472</v>
      </c>
      <c r="AP103" s="29">
        <f t="shared" si="10"/>
        <v>1769472</v>
      </c>
    </row>
    <row r="104" spans="1:42" ht="15.75">
      <c r="A104" s="71"/>
      <c r="B104" s="71"/>
      <c r="C104" s="108"/>
      <c r="D104" s="108"/>
      <c r="E104" s="108"/>
      <c r="F104" s="108"/>
      <c r="G104" s="108"/>
      <c r="H104" s="108"/>
      <c r="I104" s="108"/>
      <c r="J104" s="108"/>
      <c r="K104" s="29"/>
      <c r="L104" s="108"/>
      <c r="M104" s="108"/>
      <c r="N104" s="108"/>
      <c r="O104" s="108"/>
      <c r="P104" s="85"/>
      <c r="Q104" s="108"/>
      <c r="R104" s="108"/>
      <c r="S104" s="108"/>
      <c r="W104" s="71"/>
      <c r="AE104" s="29"/>
      <c r="AF104" s="29"/>
      <c r="AG104" s="29"/>
      <c r="AI104" s="29"/>
      <c r="AK104" s="85"/>
      <c r="AL104" s="29"/>
      <c r="AM104" s="29"/>
      <c r="AN104" s="29"/>
      <c r="AO104" s="29"/>
      <c r="AP104" s="29"/>
    </row>
    <row r="105" spans="1:42" ht="15.75">
      <c r="A105" s="71" t="s">
        <v>166</v>
      </c>
      <c r="B105" s="71"/>
      <c r="C105" s="7">
        <v>938675</v>
      </c>
      <c r="D105" s="7">
        <v>937468</v>
      </c>
      <c r="E105" s="7">
        <v>949777</v>
      </c>
      <c r="F105" s="7">
        <v>947563</v>
      </c>
      <c r="G105" s="7">
        <v>938668</v>
      </c>
      <c r="H105" s="7"/>
      <c r="I105" s="7">
        <f t="shared" ref="I105:O105" si="11">I80</f>
        <v>946700</v>
      </c>
      <c r="J105" s="7">
        <f t="shared" si="11"/>
        <v>948024</v>
      </c>
      <c r="K105" s="7"/>
      <c r="L105" s="7">
        <f t="shared" si="11"/>
        <v>947375</v>
      </c>
      <c r="M105" s="7">
        <f t="shared" si="11"/>
        <v>950328</v>
      </c>
      <c r="N105" s="7">
        <f t="shared" si="11"/>
        <v>949985</v>
      </c>
      <c r="O105" s="7">
        <f t="shared" si="11"/>
        <v>939294</v>
      </c>
      <c r="P105" s="85">
        <f>1131008+12261</f>
        <v>1143269</v>
      </c>
      <c r="Q105" s="7">
        <f>Q80</f>
        <v>946622</v>
      </c>
      <c r="R105" s="7">
        <f>R80</f>
        <v>946622</v>
      </c>
      <c r="S105" s="7">
        <f>S80</f>
        <v>946700</v>
      </c>
      <c r="T105" s="29">
        <f>T80</f>
        <v>988795</v>
      </c>
      <c r="U105" s="29">
        <f>U80</f>
        <v>938619</v>
      </c>
      <c r="V105" s="29">
        <v>1143269</v>
      </c>
      <c r="W105" s="71"/>
      <c r="X105" s="29">
        <f t="shared" ref="X105:AJ105" si="12">X80</f>
        <v>939080</v>
      </c>
      <c r="Y105" s="29">
        <f t="shared" si="12"/>
        <v>937766</v>
      </c>
      <c r="Z105" s="29">
        <f t="shared" si="12"/>
        <v>952697</v>
      </c>
      <c r="AA105" s="29">
        <f t="shared" si="12"/>
        <v>948250</v>
      </c>
      <c r="AB105" s="29">
        <f t="shared" si="12"/>
        <v>939058</v>
      </c>
      <c r="AC105" s="29">
        <f t="shared" si="12"/>
        <v>947708</v>
      </c>
      <c r="AD105" s="29">
        <f t="shared" si="12"/>
        <v>948250</v>
      </c>
      <c r="AE105" s="29">
        <f t="shared" si="12"/>
        <v>950899</v>
      </c>
      <c r="AF105" s="29">
        <f t="shared" si="12"/>
        <v>955416</v>
      </c>
      <c r="AG105" s="29">
        <f t="shared" si="12"/>
        <v>947375</v>
      </c>
      <c r="AH105" s="29">
        <f t="shared" si="12"/>
        <v>951412</v>
      </c>
      <c r="AI105" s="29">
        <f t="shared" si="12"/>
        <v>949985</v>
      </c>
      <c r="AJ105" s="29">
        <f t="shared" si="12"/>
        <v>939294</v>
      </c>
      <c r="AK105" s="85">
        <f>1131008+12261</f>
        <v>1143269</v>
      </c>
      <c r="AL105" s="29">
        <f>AL80</f>
        <v>946622</v>
      </c>
      <c r="AM105" s="29">
        <f>AM80</f>
        <v>946622</v>
      </c>
      <c r="AN105" s="29">
        <f>AN80</f>
        <v>946700</v>
      </c>
      <c r="AO105" s="29">
        <f>AO80</f>
        <v>988795</v>
      </c>
      <c r="AP105" s="29">
        <f>AP80</f>
        <v>938619</v>
      </c>
    </row>
    <row r="106" spans="1:42" ht="15.75">
      <c r="A106" s="91" t="s">
        <v>83</v>
      </c>
      <c r="B106" s="71"/>
      <c r="C106" s="28" t="s">
        <v>88</v>
      </c>
      <c r="D106" s="7" t="s">
        <v>88</v>
      </c>
      <c r="E106" s="7" t="s">
        <v>88</v>
      </c>
      <c r="F106" s="7" t="s">
        <v>88</v>
      </c>
      <c r="G106" s="7" t="s">
        <v>88</v>
      </c>
      <c r="H106" s="7"/>
      <c r="I106" s="7" t="s">
        <v>88</v>
      </c>
      <c r="J106" s="7" t="s">
        <v>88</v>
      </c>
      <c r="K106" s="29"/>
      <c r="L106" s="7" t="s">
        <v>88</v>
      </c>
      <c r="M106" s="7" t="s">
        <v>88</v>
      </c>
      <c r="N106" s="7" t="s">
        <v>88</v>
      </c>
      <c r="O106" s="28" t="s">
        <v>88</v>
      </c>
      <c r="P106" s="29" t="s">
        <v>89</v>
      </c>
      <c r="Q106" s="7" t="s">
        <v>88</v>
      </c>
      <c r="R106" s="7" t="s">
        <v>88</v>
      </c>
      <c r="S106" s="7" t="s">
        <v>88</v>
      </c>
      <c r="T106" s="29" t="s">
        <v>88</v>
      </c>
      <c r="U106" s="29" t="s">
        <v>88</v>
      </c>
      <c r="V106" s="29" t="s">
        <v>89</v>
      </c>
      <c r="W106" s="71"/>
      <c r="X106" s="85" t="s">
        <v>88</v>
      </c>
      <c r="Y106" s="29" t="s">
        <v>88</v>
      </c>
      <c r="Z106" s="29" t="s">
        <v>88</v>
      </c>
      <c r="AA106" s="29" t="s">
        <v>88</v>
      </c>
      <c r="AB106" s="29" t="s">
        <v>88</v>
      </c>
      <c r="AC106" s="29" t="s">
        <v>88</v>
      </c>
      <c r="AD106" s="29" t="s">
        <v>88</v>
      </c>
      <c r="AE106" s="29" t="s">
        <v>88</v>
      </c>
      <c r="AF106" s="29" t="s">
        <v>88</v>
      </c>
      <c r="AG106" s="29" t="s">
        <v>88</v>
      </c>
      <c r="AH106" s="29" t="s">
        <v>88</v>
      </c>
      <c r="AI106" s="29" t="s">
        <v>88</v>
      </c>
      <c r="AJ106" s="29" t="s">
        <v>88</v>
      </c>
      <c r="AK106" s="29" t="s">
        <v>89</v>
      </c>
      <c r="AL106" s="29" t="s">
        <v>88</v>
      </c>
      <c r="AM106" s="29" t="s">
        <v>88</v>
      </c>
      <c r="AN106" s="29" t="s">
        <v>88</v>
      </c>
      <c r="AO106" s="29" t="s">
        <v>88</v>
      </c>
      <c r="AP106" s="29" t="s">
        <v>88</v>
      </c>
    </row>
    <row r="107" spans="1:42" ht="15.75">
      <c r="A107" s="91" t="s">
        <v>168</v>
      </c>
      <c r="B107" s="71"/>
      <c r="C107" s="92" t="s">
        <v>303</v>
      </c>
      <c r="D107" s="92" t="s">
        <v>303</v>
      </c>
      <c r="E107" s="92" t="s">
        <v>303</v>
      </c>
      <c r="F107" s="92" t="s">
        <v>303</v>
      </c>
      <c r="G107" s="92" t="s">
        <v>303</v>
      </c>
      <c r="H107" s="7"/>
      <c r="I107" s="92" t="s">
        <v>303</v>
      </c>
      <c r="J107" s="92" t="s">
        <v>303</v>
      </c>
      <c r="K107" s="92"/>
      <c r="L107" s="92" t="s">
        <v>303</v>
      </c>
      <c r="M107" s="92" t="s">
        <v>303</v>
      </c>
      <c r="N107" s="92" t="s">
        <v>303</v>
      </c>
      <c r="O107" s="92" t="s">
        <v>304</v>
      </c>
      <c r="P107" s="92" t="s">
        <v>303</v>
      </c>
      <c r="Q107" s="92" t="s">
        <v>303</v>
      </c>
      <c r="R107" s="92" t="s">
        <v>303</v>
      </c>
      <c r="S107" s="92" t="s">
        <v>303</v>
      </c>
      <c r="T107" s="92" t="s">
        <v>303</v>
      </c>
      <c r="U107" s="92" t="s">
        <v>303</v>
      </c>
      <c r="V107" s="92" t="s">
        <v>303</v>
      </c>
      <c r="W107" s="71"/>
      <c r="X107" s="92" t="s">
        <v>303</v>
      </c>
      <c r="Y107" s="92" t="s">
        <v>303</v>
      </c>
      <c r="Z107" s="92" t="s">
        <v>303</v>
      </c>
      <c r="AA107" s="92" t="s">
        <v>303</v>
      </c>
      <c r="AB107" s="92" t="s">
        <v>303</v>
      </c>
      <c r="AC107" s="92" t="s">
        <v>303</v>
      </c>
      <c r="AD107" s="92" t="s">
        <v>303</v>
      </c>
      <c r="AE107" s="92" t="s">
        <v>303</v>
      </c>
      <c r="AF107" s="92" t="s">
        <v>303</v>
      </c>
      <c r="AG107" s="92" t="s">
        <v>303</v>
      </c>
      <c r="AH107" s="92" t="s">
        <v>303</v>
      </c>
      <c r="AI107" s="92" t="s">
        <v>303</v>
      </c>
      <c r="AJ107" s="92" t="s">
        <v>304</v>
      </c>
      <c r="AK107" s="92" t="s">
        <v>303</v>
      </c>
      <c r="AL107" s="92" t="s">
        <v>303</v>
      </c>
      <c r="AM107" s="92" t="s">
        <v>303</v>
      </c>
      <c r="AN107" s="92" t="s">
        <v>303</v>
      </c>
      <c r="AO107" s="92" t="s">
        <v>303</v>
      </c>
      <c r="AP107" s="92" t="s">
        <v>303</v>
      </c>
    </row>
    <row r="108" spans="1:42" ht="31.5">
      <c r="A108" s="91" t="s">
        <v>170</v>
      </c>
      <c r="B108" s="71"/>
      <c r="C108" s="28">
        <v>0</v>
      </c>
      <c r="D108" s="7">
        <v>0</v>
      </c>
      <c r="E108" s="7">
        <v>0</v>
      </c>
      <c r="F108" s="7">
        <v>0</v>
      </c>
      <c r="G108" s="7">
        <v>0</v>
      </c>
      <c r="H108" s="7"/>
      <c r="I108" s="7">
        <v>0</v>
      </c>
      <c r="J108" s="7">
        <v>0</v>
      </c>
      <c r="K108" s="29"/>
      <c r="L108" s="7">
        <v>0</v>
      </c>
      <c r="M108" s="7">
        <v>0</v>
      </c>
      <c r="N108" s="7">
        <v>0</v>
      </c>
      <c r="O108" s="28">
        <v>0</v>
      </c>
      <c r="P108" s="29">
        <v>0</v>
      </c>
      <c r="Q108" s="7">
        <v>0</v>
      </c>
      <c r="R108" s="7">
        <v>0</v>
      </c>
      <c r="S108" s="7">
        <v>0</v>
      </c>
      <c r="T108" s="29">
        <v>0</v>
      </c>
      <c r="U108" s="29">
        <v>0</v>
      </c>
      <c r="V108" s="29">
        <v>0</v>
      </c>
      <c r="W108" s="71"/>
      <c r="X108" s="92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</row>
    <row r="109" spans="1:42" ht="31.5">
      <c r="A109" s="91" t="s">
        <v>305</v>
      </c>
      <c r="B109" s="71"/>
      <c r="C109" s="30"/>
      <c r="D109" s="30"/>
      <c r="E109" s="30"/>
      <c r="F109" s="30"/>
      <c r="G109" s="30"/>
      <c r="H109" s="30"/>
      <c r="I109" s="30"/>
      <c r="J109" s="30"/>
      <c r="K109" s="80"/>
      <c r="L109" s="30"/>
      <c r="M109" s="30"/>
      <c r="N109" s="30"/>
      <c r="O109" s="30"/>
      <c r="P109" s="80"/>
      <c r="Q109" s="30"/>
      <c r="R109" s="30"/>
      <c r="S109" s="30"/>
      <c r="T109" s="80"/>
      <c r="U109" s="80"/>
      <c r="V109" s="80"/>
      <c r="W109" s="71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</row>
    <row r="110" spans="1:42" ht="31.5">
      <c r="A110" s="91" t="s">
        <v>306</v>
      </c>
      <c r="B110" s="71"/>
      <c r="C110" s="30"/>
      <c r="D110" s="30"/>
      <c r="E110" s="30"/>
      <c r="F110" s="30"/>
      <c r="G110" s="30"/>
      <c r="H110" s="30"/>
      <c r="I110" s="30"/>
      <c r="J110" s="30"/>
      <c r="K110" s="80"/>
      <c r="L110" s="30"/>
      <c r="M110" s="30"/>
      <c r="N110" s="30"/>
      <c r="O110" s="30"/>
      <c r="P110" s="80"/>
      <c r="Q110" s="30"/>
      <c r="R110" s="30"/>
      <c r="S110" s="30"/>
      <c r="T110" s="80"/>
      <c r="U110" s="80"/>
      <c r="V110" s="80"/>
      <c r="W110" s="71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</row>
    <row r="111" spans="1:42" ht="15.75">
      <c r="A111" s="68" t="s">
        <v>309</v>
      </c>
      <c r="B111" s="68"/>
      <c r="C111" s="96"/>
      <c r="D111" s="96"/>
      <c r="E111" s="96"/>
      <c r="F111" s="96"/>
      <c r="G111" s="96"/>
      <c r="H111" s="96"/>
      <c r="I111" s="96"/>
      <c r="J111" s="96"/>
      <c r="K111" s="70"/>
      <c r="L111" s="96"/>
      <c r="M111" s="96"/>
      <c r="N111" s="96"/>
      <c r="O111" s="96"/>
      <c r="P111" s="70"/>
      <c r="Q111" s="96"/>
      <c r="R111" s="96"/>
      <c r="S111" s="96"/>
      <c r="T111" s="70"/>
      <c r="U111" s="70"/>
      <c r="V111" s="70"/>
      <c r="W111" s="68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</row>
    <row r="112" spans="1:42" ht="15.75">
      <c r="A112" s="86" t="s">
        <v>136</v>
      </c>
      <c r="B112" s="86"/>
      <c r="C112" s="7">
        <v>2</v>
      </c>
      <c r="D112" s="7">
        <v>2</v>
      </c>
      <c r="E112" s="7">
        <v>2</v>
      </c>
      <c r="F112" s="7">
        <v>2</v>
      </c>
      <c r="G112" s="7">
        <v>2</v>
      </c>
      <c r="H112" s="7"/>
      <c r="I112" s="7">
        <v>2</v>
      </c>
      <c r="J112" s="7">
        <v>2</v>
      </c>
      <c r="K112" s="29"/>
      <c r="L112" s="7">
        <v>2</v>
      </c>
      <c r="M112" s="7">
        <v>3</v>
      </c>
      <c r="N112" s="7">
        <v>2</v>
      </c>
      <c r="O112" s="7">
        <v>2</v>
      </c>
      <c r="P112" s="112"/>
      <c r="Q112" s="7">
        <v>2</v>
      </c>
      <c r="R112" s="7">
        <v>2</v>
      </c>
      <c r="S112" s="7">
        <v>2</v>
      </c>
      <c r="T112" s="29">
        <v>2</v>
      </c>
      <c r="U112" s="29">
        <v>2</v>
      </c>
      <c r="W112" s="86"/>
      <c r="X112" s="29">
        <v>2</v>
      </c>
      <c r="Y112" s="29">
        <v>2</v>
      </c>
      <c r="Z112" s="29">
        <v>2</v>
      </c>
      <c r="AA112" s="29">
        <v>2</v>
      </c>
      <c r="AB112" s="29">
        <v>2</v>
      </c>
      <c r="AC112" s="29">
        <v>2</v>
      </c>
      <c r="AD112" s="29">
        <v>2</v>
      </c>
      <c r="AE112" s="29">
        <v>2</v>
      </c>
      <c r="AF112" s="29">
        <v>251</v>
      </c>
      <c r="AG112" s="29">
        <v>2</v>
      </c>
      <c r="AH112" s="29">
        <v>2</v>
      </c>
      <c r="AI112" s="29">
        <v>2</v>
      </c>
      <c r="AJ112" s="29">
        <v>2</v>
      </c>
      <c r="AK112" s="112"/>
      <c r="AL112" s="29">
        <v>2</v>
      </c>
      <c r="AM112" s="29">
        <v>2</v>
      </c>
      <c r="AN112" s="29">
        <v>2</v>
      </c>
      <c r="AO112" s="29">
        <v>2</v>
      </c>
      <c r="AP112" s="29">
        <v>2</v>
      </c>
    </row>
    <row r="113" spans="1:42" ht="15.75">
      <c r="A113" s="71" t="s">
        <v>300</v>
      </c>
      <c r="B113" s="86"/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/>
      <c r="I113" s="7">
        <v>0</v>
      </c>
      <c r="J113" s="7">
        <v>0</v>
      </c>
      <c r="K113" s="29"/>
      <c r="L113" s="7">
        <v>0</v>
      </c>
      <c r="M113" s="7">
        <v>0</v>
      </c>
      <c r="N113" s="7">
        <v>0</v>
      </c>
      <c r="O113" s="7">
        <v>0</v>
      </c>
      <c r="P113" s="52"/>
      <c r="Q113" s="7">
        <v>0</v>
      </c>
      <c r="R113" s="7">
        <v>0</v>
      </c>
      <c r="S113" s="7">
        <v>0</v>
      </c>
      <c r="T113" s="29">
        <v>0</v>
      </c>
      <c r="U113" s="29">
        <v>0</v>
      </c>
      <c r="W113" s="86"/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255</v>
      </c>
      <c r="AG113" s="29">
        <v>0</v>
      </c>
      <c r="AH113" s="29">
        <v>0</v>
      </c>
      <c r="AI113" s="29">
        <v>0</v>
      </c>
      <c r="AJ113" s="29">
        <v>0</v>
      </c>
      <c r="AK113" s="52"/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</row>
    <row r="114" spans="1:42" ht="15.75">
      <c r="A114" s="71" t="s">
        <v>137</v>
      </c>
      <c r="B114" s="71"/>
      <c r="C114" s="7">
        <v>2</v>
      </c>
      <c r="D114" s="7">
        <v>2</v>
      </c>
      <c r="E114" s="7">
        <v>0</v>
      </c>
      <c r="F114" s="7">
        <v>2</v>
      </c>
      <c r="G114" s="7">
        <v>2</v>
      </c>
      <c r="H114" s="7"/>
      <c r="I114" s="7">
        <v>2</v>
      </c>
      <c r="J114" s="7">
        <v>2</v>
      </c>
      <c r="K114" s="29"/>
      <c r="L114" s="7">
        <v>2</v>
      </c>
      <c r="M114" s="7">
        <v>0</v>
      </c>
      <c r="N114" s="7">
        <v>2</v>
      </c>
      <c r="O114" s="7">
        <v>2</v>
      </c>
      <c r="P114" s="52"/>
      <c r="Q114" s="7">
        <v>2</v>
      </c>
      <c r="R114" s="7">
        <v>2</v>
      </c>
      <c r="S114" s="7">
        <v>2</v>
      </c>
      <c r="T114" s="29">
        <v>2</v>
      </c>
      <c r="U114" s="29">
        <v>2</v>
      </c>
      <c r="W114" s="71"/>
      <c r="X114" s="29">
        <v>2</v>
      </c>
      <c r="Y114" s="29">
        <v>2</v>
      </c>
      <c r="Z114" s="29">
        <v>0</v>
      </c>
      <c r="AA114" s="29">
        <v>2</v>
      </c>
      <c r="AB114" s="29">
        <v>2</v>
      </c>
      <c r="AC114" s="29">
        <v>0</v>
      </c>
      <c r="AD114" s="29">
        <v>2</v>
      </c>
      <c r="AE114" s="29">
        <v>2</v>
      </c>
      <c r="AF114" s="29">
        <v>2</v>
      </c>
      <c r="AG114" s="29">
        <v>2</v>
      </c>
      <c r="AH114" s="29">
        <v>2</v>
      </c>
      <c r="AI114" s="29">
        <v>2</v>
      </c>
      <c r="AJ114" s="29">
        <v>2</v>
      </c>
      <c r="AK114" s="52"/>
      <c r="AL114" s="29">
        <v>2</v>
      </c>
      <c r="AM114" s="29">
        <v>2</v>
      </c>
      <c r="AN114" s="29">
        <v>2</v>
      </c>
      <c r="AO114" s="29">
        <v>2</v>
      </c>
      <c r="AP114" s="29">
        <v>2</v>
      </c>
    </row>
    <row r="115" spans="1:42" ht="15.75">
      <c r="A115" s="71" t="s">
        <v>138</v>
      </c>
      <c r="B115" s="71"/>
      <c r="C115" s="7" t="s">
        <v>139</v>
      </c>
      <c r="D115" s="7" t="s">
        <v>139</v>
      </c>
      <c r="E115" s="7" t="s">
        <v>101</v>
      </c>
      <c r="F115" s="7" t="s">
        <v>139</v>
      </c>
      <c r="G115" s="7" t="s">
        <v>139</v>
      </c>
      <c r="H115" s="7"/>
      <c r="I115" s="7" t="s">
        <v>139</v>
      </c>
      <c r="J115" s="7" t="s">
        <v>139</v>
      </c>
      <c r="K115" s="29"/>
      <c r="L115" s="7" t="s">
        <v>139</v>
      </c>
      <c r="M115" s="7" t="s">
        <v>139</v>
      </c>
      <c r="N115" s="7" t="s">
        <v>139</v>
      </c>
      <c r="O115" s="7" t="s">
        <v>139</v>
      </c>
      <c r="P115" s="52"/>
      <c r="Q115" s="7" t="s">
        <v>139</v>
      </c>
      <c r="R115" s="7" t="s">
        <v>139</v>
      </c>
      <c r="S115" s="7" t="s">
        <v>139</v>
      </c>
      <c r="T115" s="29" t="s">
        <v>139</v>
      </c>
      <c r="U115" s="29" t="s">
        <v>139</v>
      </c>
      <c r="W115" s="71"/>
      <c r="X115" s="29" t="s">
        <v>139</v>
      </c>
      <c r="Y115" s="29" t="s">
        <v>139</v>
      </c>
      <c r="Z115" s="29" t="s">
        <v>101</v>
      </c>
      <c r="AA115" s="29" t="s">
        <v>139</v>
      </c>
      <c r="AB115" s="29" t="s">
        <v>139</v>
      </c>
      <c r="AC115" s="29" t="s">
        <v>101</v>
      </c>
      <c r="AD115" s="29" t="s">
        <v>139</v>
      </c>
      <c r="AE115" s="29" t="s">
        <v>139</v>
      </c>
      <c r="AF115" s="29" t="s">
        <v>139</v>
      </c>
      <c r="AG115" s="29" t="s">
        <v>139</v>
      </c>
      <c r="AH115" s="29" t="s">
        <v>139</v>
      </c>
      <c r="AI115" s="29" t="s">
        <v>139</v>
      </c>
      <c r="AJ115" s="29" t="s">
        <v>139</v>
      </c>
      <c r="AK115" s="52"/>
      <c r="AL115" s="29" t="s">
        <v>139</v>
      </c>
      <c r="AM115" s="29" t="s">
        <v>139</v>
      </c>
      <c r="AN115" s="29" t="s">
        <v>139</v>
      </c>
      <c r="AO115" s="29" t="s">
        <v>139</v>
      </c>
      <c r="AP115" s="29" t="s">
        <v>139</v>
      </c>
    </row>
    <row r="116" spans="1:42" ht="15.75">
      <c r="A116" s="71" t="s">
        <v>140</v>
      </c>
      <c r="B116" s="71"/>
      <c r="C116" s="34">
        <f>2/3</f>
        <v>0.66666666666666663</v>
      </c>
      <c r="D116" s="107">
        <f>5/6</f>
        <v>0.83333333333333337</v>
      </c>
      <c r="E116" s="107">
        <f>1/2</f>
        <v>0.5</v>
      </c>
      <c r="F116" s="107">
        <f>2/3</f>
        <v>0.66666666666666663</v>
      </c>
      <c r="G116" s="107">
        <f>2/3</f>
        <v>0.66666666666666663</v>
      </c>
      <c r="H116" s="107"/>
      <c r="I116" s="107">
        <f>2/3</f>
        <v>0.66666666666666663</v>
      </c>
      <c r="J116" s="107">
        <f>2/3</f>
        <v>0.66666666666666663</v>
      </c>
      <c r="K116" s="88"/>
      <c r="L116" s="107">
        <f>2/3</f>
        <v>0.66666666666666663</v>
      </c>
      <c r="M116" s="107">
        <f>2/3</f>
        <v>0.66666666666666663</v>
      </c>
      <c r="N116" s="107">
        <f>2/3</f>
        <v>0.66666666666666663</v>
      </c>
      <c r="O116" s="34">
        <f>2/3</f>
        <v>0.66666666666666663</v>
      </c>
      <c r="P116" s="52"/>
      <c r="Q116" s="107">
        <f>2/3</f>
        <v>0.66666666666666663</v>
      </c>
      <c r="R116" s="107">
        <f>2/3</f>
        <v>0.66666666666666663</v>
      </c>
      <c r="S116" s="107">
        <f>2/3</f>
        <v>0.66666666666666663</v>
      </c>
      <c r="T116" s="88">
        <f>2/3</f>
        <v>0.66666666666666663</v>
      </c>
      <c r="U116" s="88">
        <f>2/3</f>
        <v>0.66666666666666663</v>
      </c>
      <c r="V116" s="88"/>
      <c r="W116" s="71"/>
      <c r="X116" s="87">
        <f>2/3</f>
        <v>0.66666666666666663</v>
      </c>
      <c r="Y116" s="88">
        <f>5/6</f>
        <v>0.83333333333333337</v>
      </c>
      <c r="Z116" s="88">
        <f>1/2</f>
        <v>0.5</v>
      </c>
      <c r="AA116" s="88">
        <f>2/3</f>
        <v>0.66666666666666663</v>
      </c>
      <c r="AB116" s="88">
        <f>2/3</f>
        <v>0.66666666666666663</v>
      </c>
      <c r="AC116" s="88">
        <f>1/2</f>
        <v>0.5</v>
      </c>
      <c r="AD116" s="88">
        <f>2/3</f>
        <v>0.66666666666666663</v>
      </c>
      <c r="AE116" s="88">
        <f>2/3</f>
        <v>0.66666666666666663</v>
      </c>
      <c r="AF116" s="88">
        <f>3/4</f>
        <v>0.75</v>
      </c>
      <c r="AG116" s="88">
        <f>2/3</f>
        <v>0.66666666666666663</v>
      </c>
      <c r="AH116" s="88">
        <f>2/3</f>
        <v>0.66666666666666663</v>
      </c>
      <c r="AI116" s="88">
        <f>2/3</f>
        <v>0.66666666666666663</v>
      </c>
      <c r="AJ116" s="88">
        <f>2/3</f>
        <v>0.66666666666666663</v>
      </c>
      <c r="AK116" s="52"/>
      <c r="AL116" s="88">
        <f>2/3</f>
        <v>0.66666666666666663</v>
      </c>
      <c r="AM116" s="88">
        <f>2/3</f>
        <v>0.66666666666666663</v>
      </c>
      <c r="AN116" s="88">
        <f>2/3</f>
        <v>0.66666666666666663</v>
      </c>
      <c r="AO116" s="88">
        <f>2/3</f>
        <v>0.66666666666666663</v>
      </c>
      <c r="AP116" s="88">
        <f>2/3</f>
        <v>0.66666666666666663</v>
      </c>
    </row>
    <row r="117" spans="1:42" ht="15.75">
      <c r="A117" s="71" t="s">
        <v>146</v>
      </c>
      <c r="B117" s="71"/>
      <c r="C117" s="7">
        <v>64800</v>
      </c>
      <c r="D117" s="7">
        <v>64800</v>
      </c>
      <c r="E117" s="7">
        <v>16200</v>
      </c>
      <c r="F117" s="7">
        <v>64800</v>
      </c>
      <c r="G117" s="7">
        <v>64800</v>
      </c>
      <c r="H117" s="7"/>
      <c r="I117" s="7">
        <v>64800</v>
      </c>
      <c r="J117" s="7">
        <v>64800</v>
      </c>
      <c r="K117" s="29"/>
      <c r="L117" s="7">
        <v>64800</v>
      </c>
      <c r="M117" s="7">
        <v>16200</v>
      </c>
      <c r="N117" s="7">
        <v>64800</v>
      </c>
      <c r="O117" s="7">
        <v>64800</v>
      </c>
      <c r="P117" s="52"/>
      <c r="Q117" s="7">
        <v>64800</v>
      </c>
      <c r="R117" s="7">
        <v>64800</v>
      </c>
      <c r="S117" s="7">
        <v>64800</v>
      </c>
      <c r="T117" s="29">
        <v>64800</v>
      </c>
      <c r="U117" s="29">
        <v>64800</v>
      </c>
      <c r="W117" s="71"/>
      <c r="X117" s="29">
        <v>64800</v>
      </c>
      <c r="Y117" s="29">
        <v>64800</v>
      </c>
      <c r="Z117" s="29">
        <v>16200</v>
      </c>
      <c r="AA117" s="29">
        <v>64800</v>
      </c>
      <c r="AB117" s="29">
        <v>64800</v>
      </c>
      <c r="AC117" s="29">
        <v>16200</v>
      </c>
      <c r="AD117" s="29">
        <v>64800</v>
      </c>
      <c r="AE117" s="29">
        <v>64800</v>
      </c>
      <c r="AF117" s="29">
        <v>64800</v>
      </c>
      <c r="AG117" s="29">
        <v>64800</v>
      </c>
      <c r="AH117" s="29">
        <v>64800</v>
      </c>
      <c r="AI117" s="29">
        <v>64800</v>
      </c>
      <c r="AJ117" s="29">
        <v>64800</v>
      </c>
      <c r="AK117" s="52"/>
      <c r="AL117" s="29">
        <v>64800</v>
      </c>
      <c r="AM117" s="29">
        <v>64800</v>
      </c>
      <c r="AN117" s="29">
        <v>64800</v>
      </c>
      <c r="AO117" s="29">
        <v>64800</v>
      </c>
      <c r="AP117" s="29">
        <v>64800</v>
      </c>
    </row>
    <row r="118" spans="1:42" ht="15.75">
      <c r="A118" s="71" t="s">
        <v>147</v>
      </c>
      <c r="B118" s="71"/>
      <c r="C118" s="7" t="s">
        <v>88</v>
      </c>
      <c r="D118" s="7" t="s">
        <v>88</v>
      </c>
      <c r="E118" s="7" t="s">
        <v>88</v>
      </c>
      <c r="F118" s="7" t="s">
        <v>88</v>
      </c>
      <c r="G118" s="7" t="s">
        <v>88</v>
      </c>
      <c r="H118" s="7"/>
      <c r="I118" s="7" t="s">
        <v>88</v>
      </c>
      <c r="J118" s="7" t="s">
        <v>88</v>
      </c>
      <c r="K118" s="29"/>
      <c r="L118" s="7" t="s">
        <v>88</v>
      </c>
      <c r="M118" s="7" t="s">
        <v>88</v>
      </c>
      <c r="N118" s="7" t="s">
        <v>88</v>
      </c>
      <c r="O118" s="7" t="s">
        <v>88</v>
      </c>
      <c r="P118" s="52"/>
      <c r="Q118" s="7" t="s">
        <v>88</v>
      </c>
      <c r="R118" s="7" t="s">
        <v>88</v>
      </c>
      <c r="S118" s="7" t="s">
        <v>88</v>
      </c>
      <c r="T118" s="29" t="s">
        <v>88</v>
      </c>
      <c r="U118" s="29" t="s">
        <v>88</v>
      </c>
      <c r="W118" s="71"/>
      <c r="X118" s="29" t="s">
        <v>88</v>
      </c>
      <c r="Y118" s="29" t="s">
        <v>88</v>
      </c>
      <c r="Z118" s="29" t="s">
        <v>88</v>
      </c>
      <c r="AA118" s="29" t="s">
        <v>88</v>
      </c>
      <c r="AB118" s="29" t="s">
        <v>88</v>
      </c>
      <c r="AC118" s="29" t="s">
        <v>88</v>
      </c>
      <c r="AD118" s="29" t="s">
        <v>88</v>
      </c>
      <c r="AE118" s="29" t="s">
        <v>88</v>
      </c>
      <c r="AF118" s="29" t="s">
        <v>88</v>
      </c>
      <c r="AG118" s="29" t="s">
        <v>88</v>
      </c>
      <c r="AH118" s="29" t="s">
        <v>88</v>
      </c>
      <c r="AI118" s="29" t="s">
        <v>88</v>
      </c>
      <c r="AJ118" s="29" t="s">
        <v>88</v>
      </c>
      <c r="AK118" s="52"/>
      <c r="AL118" s="29" t="s">
        <v>88</v>
      </c>
      <c r="AM118" s="29" t="s">
        <v>88</v>
      </c>
      <c r="AN118" s="29" t="s">
        <v>88</v>
      </c>
      <c r="AO118" s="29" t="s">
        <v>88</v>
      </c>
      <c r="AP118" s="29" t="s">
        <v>88</v>
      </c>
    </row>
    <row r="119" spans="1:42" ht="15.75">
      <c r="A119" s="71" t="s">
        <v>148</v>
      </c>
      <c r="B119" s="71"/>
      <c r="C119" s="7" t="s">
        <v>301</v>
      </c>
      <c r="D119" s="7" t="s">
        <v>301</v>
      </c>
      <c r="E119" s="7">
        <v>9</v>
      </c>
      <c r="F119" s="7" t="s">
        <v>301</v>
      </c>
      <c r="G119" s="7" t="s">
        <v>301</v>
      </c>
      <c r="H119" s="7"/>
      <c r="I119" s="7" t="s">
        <v>301</v>
      </c>
      <c r="J119" s="7" t="s">
        <v>301</v>
      </c>
      <c r="K119" s="29"/>
      <c r="L119" s="7" t="s">
        <v>301</v>
      </c>
      <c r="M119" s="7">
        <v>20</v>
      </c>
      <c r="N119" s="7" t="s">
        <v>301</v>
      </c>
      <c r="O119" s="7" t="s">
        <v>301</v>
      </c>
      <c r="P119" s="7"/>
      <c r="Q119" s="7" t="s">
        <v>301</v>
      </c>
      <c r="R119" s="7" t="s">
        <v>301</v>
      </c>
      <c r="S119" s="7" t="s">
        <v>301</v>
      </c>
      <c r="T119" s="29" t="s">
        <v>301</v>
      </c>
      <c r="U119" s="29" t="s">
        <v>301</v>
      </c>
      <c r="W119" s="71"/>
      <c r="X119" s="29" t="s">
        <v>301</v>
      </c>
      <c r="Y119" s="29" t="s">
        <v>301</v>
      </c>
      <c r="Z119" s="29">
        <v>9</v>
      </c>
      <c r="AA119" s="29" t="s">
        <v>301</v>
      </c>
      <c r="AB119" s="29" t="s">
        <v>301</v>
      </c>
      <c r="AC119" s="29">
        <v>9</v>
      </c>
      <c r="AD119" s="29" t="s">
        <v>301</v>
      </c>
      <c r="AE119" s="29" t="s">
        <v>301</v>
      </c>
      <c r="AF119" s="29" t="s">
        <v>301</v>
      </c>
      <c r="AG119" s="29" t="s">
        <v>301</v>
      </c>
      <c r="AH119" s="29" t="s">
        <v>301</v>
      </c>
      <c r="AI119" s="29" t="s">
        <v>301</v>
      </c>
      <c r="AJ119" s="29" t="s">
        <v>301</v>
      </c>
      <c r="AK119" s="7"/>
      <c r="AL119" s="29" t="s">
        <v>301</v>
      </c>
      <c r="AM119" s="29" t="s">
        <v>301</v>
      </c>
      <c r="AN119" s="29" t="s">
        <v>301</v>
      </c>
      <c r="AO119" s="29" t="s">
        <v>301</v>
      </c>
      <c r="AP119" s="29" t="s">
        <v>301</v>
      </c>
    </row>
    <row r="120" spans="1:42" ht="15.75">
      <c r="A120" s="71" t="s">
        <v>150</v>
      </c>
      <c r="B120" s="71"/>
      <c r="C120" s="7">
        <v>57</v>
      </c>
      <c r="D120" s="7">
        <v>53</v>
      </c>
      <c r="E120" s="7">
        <v>9</v>
      </c>
      <c r="F120" s="7">
        <v>50</v>
      </c>
      <c r="G120" s="7">
        <v>57</v>
      </c>
      <c r="H120" s="7"/>
      <c r="I120" s="7">
        <v>50</v>
      </c>
      <c r="J120" s="7">
        <v>50</v>
      </c>
      <c r="K120" s="29"/>
      <c r="L120" s="7">
        <v>50</v>
      </c>
      <c r="M120" s="7">
        <v>20</v>
      </c>
      <c r="N120" s="7">
        <v>50</v>
      </c>
      <c r="O120" s="7">
        <v>57</v>
      </c>
      <c r="P120" s="7"/>
      <c r="Q120" s="7">
        <v>50</v>
      </c>
      <c r="R120" s="7">
        <v>50</v>
      </c>
      <c r="S120" s="7">
        <v>50</v>
      </c>
      <c r="T120" s="29">
        <v>50</v>
      </c>
      <c r="U120" s="29">
        <v>50</v>
      </c>
      <c r="W120" s="71"/>
      <c r="X120" s="29">
        <v>57</v>
      </c>
      <c r="Y120" s="29">
        <v>53</v>
      </c>
      <c r="Z120" s="29">
        <v>9</v>
      </c>
      <c r="AA120" s="29">
        <v>50</v>
      </c>
      <c r="AB120" s="29">
        <v>57</v>
      </c>
      <c r="AC120" s="29">
        <v>9</v>
      </c>
      <c r="AD120" s="29">
        <v>50</v>
      </c>
      <c r="AE120" s="29">
        <v>50</v>
      </c>
      <c r="AF120" s="29">
        <v>13</v>
      </c>
      <c r="AG120" s="29">
        <v>50</v>
      </c>
      <c r="AH120" s="29">
        <v>50</v>
      </c>
      <c r="AI120" s="29">
        <v>50</v>
      </c>
      <c r="AJ120" s="29">
        <v>57</v>
      </c>
      <c r="AK120" s="7"/>
      <c r="AL120" s="29">
        <v>50</v>
      </c>
      <c r="AM120" s="29">
        <v>50</v>
      </c>
      <c r="AN120" s="29">
        <v>50</v>
      </c>
      <c r="AO120" s="29">
        <v>50</v>
      </c>
      <c r="AP120" s="29">
        <v>50</v>
      </c>
    </row>
    <row r="121" spans="1:42" ht="15.75">
      <c r="A121" s="71" t="s">
        <v>152</v>
      </c>
      <c r="B121" s="71"/>
      <c r="C121" s="7">
        <v>1</v>
      </c>
      <c r="D121" s="7">
        <v>1</v>
      </c>
      <c r="E121" s="7">
        <v>1</v>
      </c>
      <c r="F121" s="7">
        <v>1</v>
      </c>
      <c r="G121" s="7">
        <v>1</v>
      </c>
      <c r="H121" s="7"/>
      <c r="I121" s="7">
        <v>1</v>
      </c>
      <c r="J121" s="7">
        <v>1</v>
      </c>
      <c r="K121" s="29"/>
      <c r="L121" s="7">
        <v>1</v>
      </c>
      <c r="M121" s="7">
        <v>1</v>
      </c>
      <c r="N121" s="7">
        <v>1</v>
      </c>
      <c r="O121" s="7">
        <v>1</v>
      </c>
      <c r="P121" s="7"/>
      <c r="Q121" s="7">
        <v>1</v>
      </c>
      <c r="R121" s="7">
        <v>1</v>
      </c>
      <c r="S121" s="7">
        <v>1</v>
      </c>
      <c r="T121" s="29">
        <v>1</v>
      </c>
      <c r="U121" s="29">
        <v>1</v>
      </c>
      <c r="W121" s="71"/>
      <c r="X121" s="29">
        <v>1</v>
      </c>
      <c r="Y121" s="29">
        <v>1</v>
      </c>
      <c r="Z121" s="29">
        <v>1</v>
      </c>
      <c r="AA121" s="29">
        <v>1</v>
      </c>
      <c r="AB121" s="29">
        <v>1</v>
      </c>
      <c r="AC121" s="29">
        <v>1</v>
      </c>
      <c r="AD121" s="29">
        <v>1</v>
      </c>
      <c r="AE121" s="29">
        <v>1</v>
      </c>
      <c r="AF121" s="29">
        <v>1</v>
      </c>
      <c r="AG121" s="29">
        <v>1</v>
      </c>
      <c r="AH121" s="29">
        <v>1</v>
      </c>
      <c r="AI121" s="29">
        <v>1</v>
      </c>
      <c r="AJ121" s="29">
        <v>1</v>
      </c>
      <c r="AK121" s="7"/>
      <c r="AL121" s="29">
        <v>1</v>
      </c>
      <c r="AM121" s="29">
        <v>1</v>
      </c>
      <c r="AN121" s="29">
        <v>1</v>
      </c>
      <c r="AO121" s="29">
        <v>1</v>
      </c>
      <c r="AP121" s="29">
        <v>1</v>
      </c>
    </row>
    <row r="122" spans="1:42" ht="15.75">
      <c r="A122" s="71" t="s">
        <v>154</v>
      </c>
      <c r="B122" s="71"/>
      <c r="C122" s="7">
        <v>1</v>
      </c>
      <c r="D122" s="7">
        <v>1</v>
      </c>
      <c r="E122" s="7">
        <v>1</v>
      </c>
      <c r="F122" s="7">
        <v>1</v>
      </c>
      <c r="G122" s="7">
        <v>1</v>
      </c>
      <c r="H122" s="7"/>
      <c r="I122" s="7">
        <v>1</v>
      </c>
      <c r="J122" s="7">
        <v>1</v>
      </c>
      <c r="K122" s="29"/>
      <c r="L122" s="7">
        <v>1</v>
      </c>
      <c r="M122" s="7">
        <v>1</v>
      </c>
      <c r="N122" s="7">
        <v>1</v>
      </c>
      <c r="O122" s="7">
        <v>1</v>
      </c>
      <c r="P122" s="7"/>
      <c r="Q122" s="7">
        <v>1</v>
      </c>
      <c r="R122" s="7">
        <v>1</v>
      </c>
      <c r="S122" s="7">
        <v>1</v>
      </c>
      <c r="T122" s="29">
        <v>1</v>
      </c>
      <c r="U122" s="29">
        <v>1</v>
      </c>
      <c r="W122" s="71"/>
      <c r="X122" s="29">
        <v>1</v>
      </c>
      <c r="Y122" s="29">
        <v>1</v>
      </c>
      <c r="Z122" s="29">
        <v>1</v>
      </c>
      <c r="AA122" s="29">
        <v>1</v>
      </c>
      <c r="AB122" s="29">
        <v>1</v>
      </c>
      <c r="AC122" s="29">
        <v>1</v>
      </c>
      <c r="AD122" s="29">
        <v>1</v>
      </c>
      <c r="AE122" s="29">
        <v>1</v>
      </c>
      <c r="AF122" s="29">
        <v>1</v>
      </c>
      <c r="AG122" s="29">
        <v>1</v>
      </c>
      <c r="AH122" s="29">
        <v>1</v>
      </c>
      <c r="AI122" s="29">
        <v>1</v>
      </c>
      <c r="AJ122" s="29">
        <v>1</v>
      </c>
      <c r="AK122" s="7"/>
      <c r="AL122" s="29">
        <v>1</v>
      </c>
      <c r="AM122" s="29">
        <v>1</v>
      </c>
      <c r="AN122" s="29">
        <v>1</v>
      </c>
      <c r="AO122" s="29">
        <v>1</v>
      </c>
      <c r="AP122" s="29">
        <v>1</v>
      </c>
    </row>
    <row r="123" spans="1:42" ht="15.75">
      <c r="A123" s="71" t="s">
        <v>155</v>
      </c>
      <c r="B123" s="71"/>
      <c r="C123" s="7">
        <v>1</v>
      </c>
      <c r="D123" s="7">
        <v>1</v>
      </c>
      <c r="E123" s="7">
        <v>1</v>
      </c>
      <c r="F123" s="7">
        <v>1</v>
      </c>
      <c r="G123" s="7">
        <v>1</v>
      </c>
      <c r="H123" s="7"/>
      <c r="I123" s="7">
        <v>1</v>
      </c>
      <c r="J123" s="7">
        <v>1</v>
      </c>
      <c r="K123" s="29"/>
      <c r="L123" s="7">
        <v>1</v>
      </c>
      <c r="M123" s="7">
        <v>1</v>
      </c>
      <c r="N123" s="7">
        <v>1</v>
      </c>
      <c r="O123" s="7">
        <v>1</v>
      </c>
      <c r="P123" s="7"/>
      <c r="Q123" s="7">
        <v>1</v>
      </c>
      <c r="R123" s="7">
        <v>1</v>
      </c>
      <c r="S123" s="7">
        <v>1</v>
      </c>
      <c r="T123" s="29">
        <v>1</v>
      </c>
      <c r="U123" s="29">
        <v>1</v>
      </c>
      <c r="W123" s="71"/>
      <c r="X123" s="29">
        <v>1</v>
      </c>
      <c r="Y123" s="29">
        <v>1</v>
      </c>
      <c r="Z123" s="29">
        <v>1</v>
      </c>
      <c r="AA123" s="29">
        <v>1</v>
      </c>
      <c r="AB123" s="29">
        <v>1</v>
      </c>
      <c r="AC123" s="29">
        <v>1</v>
      </c>
      <c r="AD123" s="29">
        <v>1</v>
      </c>
      <c r="AE123" s="29">
        <v>1</v>
      </c>
      <c r="AF123" s="29">
        <v>1</v>
      </c>
      <c r="AG123" s="29">
        <v>1</v>
      </c>
      <c r="AH123" s="29">
        <v>1</v>
      </c>
      <c r="AI123" s="29">
        <v>1</v>
      </c>
      <c r="AJ123" s="29">
        <v>1</v>
      </c>
      <c r="AK123" s="7"/>
      <c r="AL123" s="29">
        <v>1</v>
      </c>
      <c r="AM123" s="29">
        <v>1</v>
      </c>
      <c r="AN123" s="29">
        <v>1</v>
      </c>
      <c r="AO123" s="29">
        <v>1</v>
      </c>
      <c r="AP123" s="29">
        <v>1</v>
      </c>
    </row>
    <row r="124" spans="1:42" ht="15.75">
      <c r="A124" s="71" t="s">
        <v>302</v>
      </c>
      <c r="B124" s="71"/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/>
      <c r="I124" s="7">
        <v>0</v>
      </c>
      <c r="J124" s="7">
        <v>0</v>
      </c>
      <c r="K124" s="29"/>
      <c r="L124" s="7">
        <v>0</v>
      </c>
      <c r="M124" s="7">
        <v>0</v>
      </c>
      <c r="N124" s="7">
        <v>0</v>
      </c>
      <c r="O124" s="7">
        <v>0</v>
      </c>
      <c r="P124" s="7"/>
      <c r="Q124" s="7">
        <v>0</v>
      </c>
      <c r="R124" s="7">
        <v>0</v>
      </c>
      <c r="S124" s="7">
        <v>0</v>
      </c>
      <c r="T124" s="29">
        <v>0</v>
      </c>
      <c r="U124" s="29">
        <v>0</v>
      </c>
      <c r="W124" s="71"/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7"/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</row>
    <row r="125" spans="1:42" ht="15.75">
      <c r="A125" s="89" t="s">
        <v>158</v>
      </c>
      <c r="B125" s="68"/>
      <c r="C125" s="96"/>
      <c r="D125" s="96"/>
      <c r="E125" s="96"/>
      <c r="F125" s="96"/>
      <c r="G125" s="96"/>
      <c r="H125" s="96"/>
      <c r="I125" s="96"/>
      <c r="J125" s="96"/>
      <c r="K125" s="70"/>
      <c r="L125" s="96"/>
      <c r="M125" s="96"/>
      <c r="N125" s="96"/>
      <c r="O125" s="96"/>
      <c r="P125" s="96"/>
      <c r="Q125" s="96"/>
      <c r="R125" s="96"/>
      <c r="S125" s="96"/>
      <c r="T125" s="70"/>
      <c r="U125" s="70"/>
      <c r="V125" s="70"/>
      <c r="W125" s="68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96"/>
      <c r="AL125" s="70"/>
      <c r="AM125" s="70"/>
      <c r="AN125" s="70"/>
      <c r="AO125" s="70"/>
      <c r="AP125" s="70"/>
    </row>
    <row r="126" spans="1:42" ht="15.75">
      <c r="A126" s="71" t="s">
        <v>159</v>
      </c>
      <c r="B126" s="71"/>
      <c r="C126" s="7" t="s">
        <v>160</v>
      </c>
      <c r="D126" s="7" t="s">
        <v>160</v>
      </c>
      <c r="E126" s="7" t="s">
        <v>160</v>
      </c>
      <c r="F126" s="7" t="s">
        <v>160</v>
      </c>
      <c r="G126" s="7" t="s">
        <v>160</v>
      </c>
      <c r="H126" s="7"/>
      <c r="I126" s="7" t="s">
        <v>160</v>
      </c>
      <c r="J126" s="7" t="s">
        <v>160</v>
      </c>
      <c r="K126" s="29"/>
      <c r="L126" s="7" t="s">
        <v>160</v>
      </c>
      <c r="M126" s="7" t="s">
        <v>160</v>
      </c>
      <c r="N126" s="7" t="s">
        <v>160</v>
      </c>
      <c r="O126" s="7" t="s">
        <v>160</v>
      </c>
      <c r="P126" s="7"/>
      <c r="Q126" s="7" t="s">
        <v>160</v>
      </c>
      <c r="R126" s="7" t="s">
        <v>160</v>
      </c>
      <c r="S126" s="7" t="s">
        <v>160</v>
      </c>
      <c r="T126" s="29" t="s">
        <v>160</v>
      </c>
      <c r="U126" s="29" t="s">
        <v>162</v>
      </c>
      <c r="W126" s="71"/>
      <c r="X126" s="29" t="s">
        <v>160</v>
      </c>
      <c r="Y126" s="29" t="s">
        <v>160</v>
      </c>
      <c r="Z126" s="29" t="s">
        <v>160</v>
      </c>
      <c r="AA126" s="29" t="s">
        <v>160</v>
      </c>
      <c r="AB126" s="29" t="s">
        <v>160</v>
      </c>
      <c r="AC126" s="29" t="s">
        <v>160</v>
      </c>
      <c r="AD126" s="29" t="s">
        <v>160</v>
      </c>
      <c r="AE126" s="29" t="s">
        <v>160</v>
      </c>
      <c r="AF126" s="29" t="s">
        <v>160</v>
      </c>
      <c r="AG126" s="29" t="s">
        <v>160</v>
      </c>
      <c r="AH126" s="29" t="s">
        <v>160</v>
      </c>
      <c r="AI126" s="29" t="s">
        <v>160</v>
      </c>
      <c r="AJ126" s="29" t="s">
        <v>160</v>
      </c>
      <c r="AK126" s="7"/>
      <c r="AL126" s="29" t="s">
        <v>160</v>
      </c>
      <c r="AM126" s="29" t="s">
        <v>160</v>
      </c>
      <c r="AN126" s="29" t="s">
        <v>160</v>
      </c>
      <c r="AO126" s="29" t="s">
        <v>160</v>
      </c>
      <c r="AP126" s="29" t="s">
        <v>162</v>
      </c>
    </row>
    <row r="127" spans="1:42" ht="15.75">
      <c r="A127" s="71" t="s">
        <v>163</v>
      </c>
      <c r="B127" s="71"/>
      <c r="C127" s="7" t="s">
        <v>88</v>
      </c>
      <c r="D127" s="7" t="s">
        <v>88</v>
      </c>
      <c r="E127" s="7" t="s">
        <v>88</v>
      </c>
      <c r="F127" s="7" t="s">
        <v>88</v>
      </c>
      <c r="G127" s="7" t="s">
        <v>88</v>
      </c>
      <c r="H127" s="7"/>
      <c r="I127" s="7" t="s">
        <v>88</v>
      </c>
      <c r="J127" s="7" t="s">
        <v>88</v>
      </c>
      <c r="K127" s="29"/>
      <c r="L127" s="7" t="s">
        <v>88</v>
      </c>
      <c r="M127" s="7" t="s">
        <v>88</v>
      </c>
      <c r="N127" s="7" t="s">
        <v>88</v>
      </c>
      <c r="O127" s="7" t="s">
        <v>88</v>
      </c>
      <c r="P127" s="7"/>
      <c r="Q127" s="7" t="s">
        <v>88</v>
      </c>
      <c r="R127" s="7" t="s">
        <v>88</v>
      </c>
      <c r="S127" s="7" t="s">
        <v>88</v>
      </c>
      <c r="T127" s="29" t="s">
        <v>88</v>
      </c>
      <c r="U127" s="29" t="s">
        <v>88</v>
      </c>
      <c r="W127" s="71"/>
      <c r="X127" s="29" t="s">
        <v>88</v>
      </c>
      <c r="Y127" s="29" t="s">
        <v>88</v>
      </c>
      <c r="Z127" s="29" t="s">
        <v>88</v>
      </c>
      <c r="AA127" s="29" t="s">
        <v>88</v>
      </c>
      <c r="AB127" s="29" t="s">
        <v>88</v>
      </c>
      <c r="AC127" s="29" t="s">
        <v>88</v>
      </c>
      <c r="AD127" s="29" t="s">
        <v>88</v>
      </c>
      <c r="AE127" s="29" t="s">
        <v>88</v>
      </c>
      <c r="AF127" s="29" t="s">
        <v>88</v>
      </c>
      <c r="AG127" s="29" t="s">
        <v>88</v>
      </c>
      <c r="AH127" s="29" t="s">
        <v>88</v>
      </c>
      <c r="AI127" s="29" t="s">
        <v>88</v>
      </c>
      <c r="AJ127" s="29" t="s">
        <v>88</v>
      </c>
      <c r="AK127" s="7"/>
      <c r="AL127" s="29" t="s">
        <v>88</v>
      </c>
      <c r="AM127" s="29" t="s">
        <v>88</v>
      </c>
      <c r="AN127" s="29" t="s">
        <v>88</v>
      </c>
      <c r="AO127" s="29" t="s">
        <v>88</v>
      </c>
      <c r="AP127" s="29" t="s">
        <v>88</v>
      </c>
    </row>
    <row r="128" spans="1:42" ht="15.75">
      <c r="A128" s="71" t="s">
        <v>165</v>
      </c>
      <c r="B128" s="71"/>
      <c r="C128" s="7">
        <f>197*8192</f>
        <v>1613824</v>
      </c>
      <c r="D128" s="7">
        <f>204*8192</f>
        <v>1671168</v>
      </c>
      <c r="E128" s="7">
        <f>128*8192</f>
        <v>1048576</v>
      </c>
      <c r="F128" s="7">
        <f>216*8192</f>
        <v>1769472</v>
      </c>
      <c r="G128" s="7">
        <f>197*8192</f>
        <v>1613824</v>
      </c>
      <c r="H128" s="7"/>
      <c r="I128" s="7">
        <f>216*8192</f>
        <v>1769472</v>
      </c>
      <c r="J128" s="7">
        <f>216*8192</f>
        <v>1769472</v>
      </c>
      <c r="K128" s="29"/>
      <c r="L128" s="7">
        <f>216*8192</f>
        <v>1769472</v>
      </c>
      <c r="M128" s="7">
        <f>320*1024</f>
        <v>327680</v>
      </c>
      <c r="N128" s="7">
        <f>216*8192</f>
        <v>1769472</v>
      </c>
      <c r="O128" s="7">
        <f>197*8192</f>
        <v>1613824</v>
      </c>
      <c r="P128" s="7"/>
      <c r="Q128" s="7">
        <f>216*8192</f>
        <v>1769472</v>
      </c>
      <c r="R128" s="7">
        <f>216*8192</f>
        <v>1769472</v>
      </c>
      <c r="S128" s="7">
        <f>216*8192</f>
        <v>1769472</v>
      </c>
      <c r="T128" s="29">
        <f>T103</f>
        <v>1769472</v>
      </c>
      <c r="U128" s="29">
        <f>U103</f>
        <v>1769472</v>
      </c>
      <c r="W128" s="71"/>
      <c r="X128" s="29">
        <f>X103</f>
        <v>1671168</v>
      </c>
      <c r="Y128" s="29">
        <f>Y103</f>
        <v>1671168</v>
      </c>
      <c r="Z128" s="29">
        <f>128*8192</f>
        <v>1048576</v>
      </c>
      <c r="AA128" s="29">
        <f t="shared" ref="AA128:AJ128" si="13">AA103</f>
        <v>1753088</v>
      </c>
      <c r="AB128" s="29">
        <f t="shared" si="13"/>
        <v>1671168</v>
      </c>
      <c r="AC128" s="29">
        <f t="shared" si="13"/>
        <v>1048576</v>
      </c>
      <c r="AD128" s="29">
        <f t="shared" si="13"/>
        <v>1753088</v>
      </c>
      <c r="AE128" s="29">
        <f t="shared" si="13"/>
        <v>1753088</v>
      </c>
      <c r="AF128" s="29">
        <f t="shared" si="13"/>
        <v>1048576</v>
      </c>
      <c r="AG128" s="29">
        <f t="shared" si="13"/>
        <v>1753088</v>
      </c>
      <c r="AH128" s="29">
        <f t="shared" si="13"/>
        <v>1769472</v>
      </c>
      <c r="AI128" s="29">
        <f t="shared" si="13"/>
        <v>1769472</v>
      </c>
      <c r="AJ128" s="29">
        <f t="shared" si="13"/>
        <v>1671168</v>
      </c>
      <c r="AK128" s="7"/>
      <c r="AL128" s="29">
        <f>AL103</f>
        <v>1769472</v>
      </c>
      <c r="AM128" s="29">
        <f>AM103</f>
        <v>1769472</v>
      </c>
      <c r="AN128" s="29">
        <f>AN103</f>
        <v>1753088</v>
      </c>
      <c r="AO128" s="29">
        <f>AO103</f>
        <v>1769472</v>
      </c>
      <c r="AP128" s="29">
        <f>AP103</f>
        <v>1769472</v>
      </c>
    </row>
    <row r="129" spans="1:42" ht="15.75">
      <c r="A129" s="71"/>
      <c r="B129" s="71"/>
      <c r="C129" s="108"/>
      <c r="D129" s="108"/>
      <c r="E129" s="108"/>
      <c r="F129" s="108"/>
      <c r="G129" s="108"/>
      <c r="H129" s="108"/>
      <c r="I129" s="108"/>
      <c r="J129" s="108"/>
      <c r="K129" s="29"/>
      <c r="L129" s="108"/>
      <c r="M129" s="108"/>
      <c r="N129" s="108"/>
      <c r="O129" s="108"/>
      <c r="P129" s="108"/>
      <c r="Q129" s="108"/>
      <c r="R129" s="108"/>
      <c r="S129" s="108"/>
      <c r="W129" s="71"/>
      <c r="AE129" s="29"/>
      <c r="AF129" s="29"/>
      <c r="AG129" s="29"/>
      <c r="AI129" s="29"/>
      <c r="AK129" s="108"/>
      <c r="AL129" s="29"/>
      <c r="AM129" s="29"/>
      <c r="AN129" s="29"/>
      <c r="AO129" s="29"/>
      <c r="AP129" s="29"/>
    </row>
    <row r="130" spans="1:42" ht="15.75">
      <c r="A130" s="71" t="s">
        <v>166</v>
      </c>
      <c r="B130" s="71"/>
      <c r="C130" s="7">
        <v>938675</v>
      </c>
      <c r="D130" s="7">
        <v>937468</v>
      </c>
      <c r="E130" s="7">
        <v>949777</v>
      </c>
      <c r="F130" s="7">
        <v>947563</v>
      </c>
      <c r="G130" s="7">
        <v>938668</v>
      </c>
      <c r="H130" s="7"/>
      <c r="I130" s="7">
        <f t="shared" ref="I130:O130" si="14">I105</f>
        <v>946700</v>
      </c>
      <c r="J130" s="7">
        <f t="shared" si="14"/>
        <v>948024</v>
      </c>
      <c r="K130" s="7"/>
      <c r="L130" s="7">
        <f t="shared" si="14"/>
        <v>947375</v>
      </c>
      <c r="M130" s="7">
        <f>M105</f>
        <v>950328</v>
      </c>
      <c r="N130" s="7">
        <f t="shared" si="14"/>
        <v>949985</v>
      </c>
      <c r="O130" s="7">
        <f t="shared" si="14"/>
        <v>939294</v>
      </c>
      <c r="P130" s="7"/>
      <c r="Q130" s="7">
        <f>Q105</f>
        <v>946622</v>
      </c>
      <c r="R130" s="7">
        <f>R105</f>
        <v>946622</v>
      </c>
      <c r="S130" s="7">
        <f>S105</f>
        <v>946700</v>
      </c>
      <c r="T130" s="29">
        <f>T105</f>
        <v>988795</v>
      </c>
      <c r="U130" s="29">
        <f>U105</f>
        <v>938619</v>
      </c>
      <c r="W130" s="71"/>
      <c r="X130" s="29">
        <f t="shared" ref="X130:AJ130" si="15">X105</f>
        <v>939080</v>
      </c>
      <c r="Y130" s="29">
        <f t="shared" si="15"/>
        <v>937766</v>
      </c>
      <c r="Z130" s="29">
        <f t="shared" si="15"/>
        <v>952697</v>
      </c>
      <c r="AA130" s="29">
        <f t="shared" si="15"/>
        <v>948250</v>
      </c>
      <c r="AB130" s="29">
        <f t="shared" si="15"/>
        <v>939058</v>
      </c>
      <c r="AC130" s="29">
        <f t="shared" si="15"/>
        <v>947708</v>
      </c>
      <c r="AD130" s="29">
        <f t="shared" si="15"/>
        <v>948250</v>
      </c>
      <c r="AE130" s="29">
        <f t="shared" si="15"/>
        <v>950899</v>
      </c>
      <c r="AF130" s="29">
        <f t="shared" si="15"/>
        <v>955416</v>
      </c>
      <c r="AG130" s="29">
        <f t="shared" si="15"/>
        <v>947375</v>
      </c>
      <c r="AH130" s="29">
        <f t="shared" si="15"/>
        <v>951412</v>
      </c>
      <c r="AI130" s="29">
        <f t="shared" si="15"/>
        <v>949985</v>
      </c>
      <c r="AJ130" s="29">
        <f t="shared" si="15"/>
        <v>939294</v>
      </c>
      <c r="AK130" s="7"/>
      <c r="AL130" s="29">
        <f>AL105</f>
        <v>946622</v>
      </c>
      <c r="AM130" s="29">
        <f>AM105</f>
        <v>946622</v>
      </c>
      <c r="AN130" s="29">
        <f>AN105</f>
        <v>946700</v>
      </c>
      <c r="AO130" s="29">
        <f>AO105</f>
        <v>988795</v>
      </c>
      <c r="AP130" s="29">
        <f>AP105</f>
        <v>938619</v>
      </c>
    </row>
    <row r="131" spans="1:42" ht="15.75">
      <c r="A131" s="91" t="s">
        <v>83</v>
      </c>
      <c r="B131" s="71"/>
      <c r="C131" s="28" t="s">
        <v>88</v>
      </c>
      <c r="D131" s="7" t="s">
        <v>88</v>
      </c>
      <c r="E131" s="7" t="s">
        <v>88</v>
      </c>
      <c r="F131" s="7" t="s">
        <v>88</v>
      </c>
      <c r="G131" s="7" t="s">
        <v>88</v>
      </c>
      <c r="H131" s="7"/>
      <c r="I131" s="7" t="s">
        <v>88</v>
      </c>
      <c r="J131" s="7" t="s">
        <v>88</v>
      </c>
      <c r="K131" s="29"/>
      <c r="L131" s="7" t="s">
        <v>88</v>
      </c>
      <c r="M131" s="7" t="s">
        <v>88</v>
      </c>
      <c r="N131" s="7" t="s">
        <v>88</v>
      </c>
      <c r="O131" s="28" t="s">
        <v>88</v>
      </c>
      <c r="P131" s="7"/>
      <c r="Q131" s="7" t="s">
        <v>88</v>
      </c>
      <c r="R131" s="7" t="s">
        <v>88</v>
      </c>
      <c r="S131" s="7" t="s">
        <v>88</v>
      </c>
      <c r="T131" s="29" t="s">
        <v>88</v>
      </c>
      <c r="U131" s="29" t="s">
        <v>88</v>
      </c>
      <c r="W131" s="71"/>
      <c r="X131" s="85" t="s">
        <v>88</v>
      </c>
      <c r="Y131" s="29" t="s">
        <v>88</v>
      </c>
      <c r="Z131" s="29" t="s">
        <v>88</v>
      </c>
      <c r="AA131" s="29" t="s">
        <v>88</v>
      </c>
      <c r="AB131" s="29" t="s">
        <v>88</v>
      </c>
      <c r="AC131" s="29" t="s">
        <v>88</v>
      </c>
      <c r="AD131" s="29" t="s">
        <v>88</v>
      </c>
      <c r="AE131" s="29" t="s">
        <v>88</v>
      </c>
      <c r="AF131" s="29" t="s">
        <v>88</v>
      </c>
      <c r="AG131" s="29" t="s">
        <v>88</v>
      </c>
      <c r="AH131" s="29" t="s">
        <v>88</v>
      </c>
      <c r="AI131" s="29" t="s">
        <v>88</v>
      </c>
      <c r="AJ131" s="29" t="s">
        <v>88</v>
      </c>
      <c r="AK131" s="7"/>
      <c r="AL131" s="29" t="s">
        <v>88</v>
      </c>
      <c r="AM131" s="29" t="s">
        <v>88</v>
      </c>
      <c r="AN131" s="29" t="s">
        <v>88</v>
      </c>
      <c r="AO131" s="29" t="s">
        <v>88</v>
      </c>
      <c r="AP131" s="29" t="s">
        <v>88</v>
      </c>
    </row>
    <row r="132" spans="1:42" ht="15.75">
      <c r="A132" s="91" t="s">
        <v>168</v>
      </c>
      <c r="B132" s="71"/>
      <c r="C132" s="92" t="s">
        <v>303</v>
      </c>
      <c r="D132" s="92" t="s">
        <v>303</v>
      </c>
      <c r="E132" s="92" t="s">
        <v>303</v>
      </c>
      <c r="F132" s="92" t="s">
        <v>303</v>
      </c>
      <c r="G132" s="92" t="s">
        <v>303</v>
      </c>
      <c r="H132" s="92" t="s">
        <v>303</v>
      </c>
      <c r="I132" s="92" t="s">
        <v>303</v>
      </c>
      <c r="J132" s="92" t="s">
        <v>303</v>
      </c>
      <c r="K132" s="92"/>
      <c r="L132" s="92" t="s">
        <v>303</v>
      </c>
      <c r="M132" s="92" t="s">
        <v>303</v>
      </c>
      <c r="N132" s="92" t="s">
        <v>303</v>
      </c>
      <c r="O132" s="92" t="s">
        <v>304</v>
      </c>
      <c r="P132" s="52"/>
      <c r="Q132" s="92" t="s">
        <v>303</v>
      </c>
      <c r="R132" s="92" t="s">
        <v>303</v>
      </c>
      <c r="S132" s="92" t="s">
        <v>303</v>
      </c>
      <c r="T132" s="92" t="s">
        <v>303</v>
      </c>
      <c r="U132" s="92" t="s">
        <v>303</v>
      </c>
      <c r="V132" s="92"/>
      <c r="W132" s="71"/>
      <c r="X132" s="92" t="s">
        <v>303</v>
      </c>
      <c r="Y132" s="92" t="s">
        <v>303</v>
      </c>
      <c r="Z132" s="92" t="s">
        <v>303</v>
      </c>
      <c r="AA132" s="92" t="s">
        <v>303</v>
      </c>
      <c r="AB132" s="92" t="s">
        <v>303</v>
      </c>
      <c r="AC132" s="92" t="s">
        <v>303</v>
      </c>
      <c r="AD132" s="92" t="s">
        <v>303</v>
      </c>
      <c r="AE132" s="92" t="s">
        <v>303</v>
      </c>
      <c r="AF132" s="92" t="s">
        <v>303</v>
      </c>
      <c r="AG132" s="92" t="s">
        <v>303</v>
      </c>
      <c r="AH132" s="92" t="s">
        <v>303</v>
      </c>
      <c r="AI132" s="92" t="s">
        <v>303</v>
      </c>
      <c r="AJ132" s="92" t="s">
        <v>304</v>
      </c>
      <c r="AK132" s="52"/>
      <c r="AL132" s="92" t="s">
        <v>303</v>
      </c>
      <c r="AM132" s="92" t="s">
        <v>303</v>
      </c>
      <c r="AN132" s="92" t="s">
        <v>303</v>
      </c>
      <c r="AO132" s="92" t="s">
        <v>303</v>
      </c>
      <c r="AP132" s="92" t="s">
        <v>303</v>
      </c>
    </row>
    <row r="133" spans="1:42" ht="31.5">
      <c r="A133" s="91" t="s">
        <v>170</v>
      </c>
      <c r="B133" s="71"/>
      <c r="C133" s="28">
        <v>0</v>
      </c>
      <c r="D133" s="7">
        <v>0</v>
      </c>
      <c r="E133" s="7">
        <v>0</v>
      </c>
      <c r="F133" s="7">
        <v>0</v>
      </c>
      <c r="G133" s="7">
        <v>0</v>
      </c>
      <c r="H133" s="7"/>
      <c r="I133" s="7">
        <v>0</v>
      </c>
      <c r="J133" s="7">
        <v>0</v>
      </c>
      <c r="K133" s="29"/>
      <c r="L133" s="7">
        <v>0</v>
      </c>
      <c r="M133" s="7">
        <v>0</v>
      </c>
      <c r="N133" s="7">
        <v>0</v>
      </c>
      <c r="O133" s="28">
        <v>0</v>
      </c>
      <c r="P133" s="7"/>
      <c r="Q133" s="7">
        <v>0</v>
      </c>
      <c r="R133" s="7">
        <v>0</v>
      </c>
      <c r="S133" s="7">
        <v>0</v>
      </c>
      <c r="T133" s="29">
        <v>0</v>
      </c>
      <c r="U133" s="29">
        <v>0</v>
      </c>
      <c r="W133" s="71"/>
      <c r="X133" s="92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7"/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</row>
    <row r="134" spans="1:42" ht="31.5">
      <c r="A134" s="91" t="s">
        <v>305</v>
      </c>
      <c r="B134" s="71"/>
      <c r="C134" s="30"/>
      <c r="D134" s="30"/>
      <c r="E134" s="30"/>
      <c r="F134" s="30"/>
      <c r="G134" s="30"/>
      <c r="H134" s="30"/>
      <c r="I134" s="30"/>
      <c r="J134" s="30"/>
      <c r="K134" s="80"/>
      <c r="L134" s="30"/>
      <c r="M134" s="30"/>
      <c r="N134" s="30"/>
      <c r="O134" s="30"/>
      <c r="P134" s="30"/>
      <c r="Q134" s="30"/>
      <c r="R134" s="30"/>
      <c r="S134" s="30"/>
      <c r="T134" s="80"/>
      <c r="U134" s="80"/>
      <c r="V134" s="80"/>
      <c r="W134" s="71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30"/>
      <c r="AL134" s="80"/>
      <c r="AM134" s="80"/>
      <c r="AN134" s="80"/>
      <c r="AO134" s="80"/>
      <c r="AP134" s="80"/>
    </row>
    <row r="135" spans="1:42" ht="31.5">
      <c r="A135" s="91" t="s">
        <v>306</v>
      </c>
      <c r="B135" s="71"/>
      <c r="C135" s="30"/>
      <c r="D135" s="30"/>
      <c r="E135" s="30"/>
      <c r="F135" s="30"/>
      <c r="G135" s="30"/>
      <c r="H135" s="30"/>
      <c r="I135" s="30"/>
      <c r="J135" s="30"/>
      <c r="K135" s="80"/>
      <c r="L135" s="30"/>
      <c r="M135" s="30"/>
      <c r="N135" s="30"/>
      <c r="O135" s="30"/>
      <c r="P135" s="30"/>
      <c r="Q135" s="30"/>
      <c r="R135" s="30"/>
      <c r="S135" s="30"/>
      <c r="T135" s="80"/>
      <c r="U135" s="80"/>
      <c r="V135" s="80"/>
      <c r="W135" s="71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30"/>
      <c r="AL135" s="80"/>
      <c r="AM135" s="80"/>
      <c r="AN135" s="80"/>
      <c r="AO135" s="80"/>
      <c r="AP135" s="80"/>
    </row>
    <row r="136" spans="1:42" ht="15.75">
      <c r="A136" s="68" t="s">
        <v>310</v>
      </c>
      <c r="B136" s="68"/>
      <c r="C136" s="96"/>
      <c r="D136" s="96"/>
      <c r="E136" s="96"/>
      <c r="F136" s="96"/>
      <c r="G136" s="96"/>
      <c r="H136" s="96"/>
      <c r="I136" s="96"/>
      <c r="J136" s="96"/>
      <c r="K136" s="70"/>
      <c r="L136" s="96"/>
      <c r="M136" s="70" t="s">
        <v>389</v>
      </c>
      <c r="N136" s="96"/>
      <c r="O136" s="96"/>
      <c r="P136" s="96"/>
      <c r="Q136" s="96"/>
      <c r="R136" s="96"/>
      <c r="S136" s="96"/>
      <c r="T136" s="70"/>
      <c r="U136" s="70"/>
      <c r="V136" s="70"/>
      <c r="W136" s="68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96"/>
      <c r="AL136" s="70"/>
      <c r="AM136" s="70"/>
      <c r="AN136" s="70"/>
      <c r="AO136" s="70"/>
      <c r="AP136" s="70"/>
    </row>
    <row r="137" spans="1:42" ht="15.75">
      <c r="A137" s="86" t="s">
        <v>136</v>
      </c>
      <c r="B137" s="86"/>
      <c r="C137" s="7">
        <v>3</v>
      </c>
      <c r="D137" s="7">
        <v>3</v>
      </c>
      <c r="E137" s="7"/>
      <c r="F137" s="7">
        <v>3</v>
      </c>
      <c r="G137" s="7">
        <v>3</v>
      </c>
      <c r="H137" s="7"/>
      <c r="I137" s="7">
        <v>3</v>
      </c>
      <c r="J137" s="7">
        <v>3</v>
      </c>
      <c r="K137" s="29"/>
      <c r="L137" s="7">
        <v>3</v>
      </c>
      <c r="M137" s="29" t="s">
        <v>311</v>
      </c>
      <c r="N137" s="7">
        <v>3</v>
      </c>
      <c r="O137" s="7">
        <v>3</v>
      </c>
      <c r="P137" s="7"/>
      <c r="Q137" s="7">
        <v>3</v>
      </c>
      <c r="R137" s="7">
        <v>3</v>
      </c>
      <c r="S137" s="7">
        <v>3</v>
      </c>
      <c r="T137" s="29">
        <v>3</v>
      </c>
      <c r="U137" s="29">
        <v>3</v>
      </c>
      <c r="W137" s="86"/>
      <c r="X137" s="29">
        <v>3</v>
      </c>
      <c r="Y137" s="29">
        <v>3</v>
      </c>
      <c r="AA137" s="29">
        <v>3</v>
      </c>
      <c r="AB137" s="29">
        <v>3</v>
      </c>
      <c r="AD137" s="29">
        <v>3</v>
      </c>
      <c r="AE137" s="29">
        <v>3</v>
      </c>
      <c r="AF137" s="29">
        <v>252</v>
      </c>
      <c r="AG137" s="29">
        <v>3</v>
      </c>
      <c r="AH137" s="29">
        <v>3</v>
      </c>
      <c r="AI137" s="29">
        <v>3</v>
      </c>
      <c r="AJ137" s="29">
        <v>3</v>
      </c>
      <c r="AK137" s="7"/>
      <c r="AL137" s="29">
        <v>3</v>
      </c>
      <c r="AM137" s="29">
        <v>3</v>
      </c>
      <c r="AN137" s="29">
        <v>3</v>
      </c>
      <c r="AO137" s="29">
        <v>3</v>
      </c>
      <c r="AP137" s="29">
        <v>3</v>
      </c>
    </row>
    <row r="138" spans="1:42" ht="15.75">
      <c r="A138" s="71" t="s">
        <v>300</v>
      </c>
      <c r="B138" s="86"/>
      <c r="C138" s="7">
        <v>0</v>
      </c>
      <c r="D138" s="7">
        <v>0</v>
      </c>
      <c r="E138" s="7"/>
      <c r="F138" s="7">
        <v>0</v>
      </c>
      <c r="G138" s="7">
        <v>0</v>
      </c>
      <c r="H138" s="7"/>
      <c r="I138" s="7">
        <v>0</v>
      </c>
      <c r="J138" s="7">
        <v>0</v>
      </c>
      <c r="K138" s="29"/>
      <c r="L138" s="7">
        <v>0</v>
      </c>
      <c r="M138" s="29">
        <v>1</v>
      </c>
      <c r="N138" s="7">
        <v>0</v>
      </c>
      <c r="O138" s="7">
        <v>0</v>
      </c>
      <c r="P138" s="7"/>
      <c r="Q138" s="7">
        <v>0</v>
      </c>
      <c r="R138" s="7">
        <v>0</v>
      </c>
      <c r="S138" s="7">
        <v>0</v>
      </c>
      <c r="T138" s="29">
        <v>0</v>
      </c>
      <c r="U138" s="29">
        <v>0</v>
      </c>
      <c r="W138" s="86"/>
      <c r="X138" s="29">
        <v>0</v>
      </c>
      <c r="Y138" s="29">
        <v>0</v>
      </c>
      <c r="AA138" s="29">
        <v>0</v>
      </c>
      <c r="AB138" s="29">
        <v>0</v>
      </c>
      <c r="AD138" s="29">
        <v>0</v>
      </c>
      <c r="AE138" s="29">
        <v>0</v>
      </c>
      <c r="AF138" s="29">
        <v>255</v>
      </c>
      <c r="AG138" s="29">
        <v>0</v>
      </c>
      <c r="AH138" s="29">
        <v>0</v>
      </c>
      <c r="AI138" s="29">
        <v>0</v>
      </c>
      <c r="AJ138" s="29">
        <v>0</v>
      </c>
      <c r="AK138" s="7"/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</row>
    <row r="139" spans="1:42" ht="15.75">
      <c r="A139" s="71" t="s">
        <v>137</v>
      </c>
      <c r="B139" s="71"/>
      <c r="C139" s="7">
        <v>2</v>
      </c>
      <c r="D139" s="7">
        <v>2</v>
      </c>
      <c r="E139" s="7"/>
      <c r="F139" s="7">
        <v>0</v>
      </c>
      <c r="G139" s="7">
        <v>2</v>
      </c>
      <c r="H139" s="7"/>
      <c r="I139" s="7">
        <v>0</v>
      </c>
      <c r="J139" s="7">
        <v>0</v>
      </c>
      <c r="K139" s="29"/>
      <c r="L139" s="7">
        <v>0</v>
      </c>
      <c r="M139" s="29">
        <v>2</v>
      </c>
      <c r="N139" s="7">
        <v>0</v>
      </c>
      <c r="O139" s="7">
        <v>2</v>
      </c>
      <c r="P139" s="7"/>
      <c r="Q139" s="7">
        <v>0</v>
      </c>
      <c r="R139" s="7">
        <v>0</v>
      </c>
      <c r="S139" s="7">
        <v>0</v>
      </c>
      <c r="T139" s="29">
        <v>0</v>
      </c>
      <c r="U139" s="29">
        <v>0</v>
      </c>
      <c r="W139" s="71"/>
      <c r="X139" s="29">
        <v>2</v>
      </c>
      <c r="Y139" s="29">
        <v>2</v>
      </c>
      <c r="AA139" s="29">
        <v>0</v>
      </c>
      <c r="AB139" s="29">
        <v>2</v>
      </c>
      <c r="AD139" s="29">
        <v>0</v>
      </c>
      <c r="AE139" s="29">
        <v>0</v>
      </c>
      <c r="AF139" s="29">
        <v>2</v>
      </c>
      <c r="AG139" s="29">
        <v>0</v>
      </c>
      <c r="AH139" s="29">
        <v>0</v>
      </c>
      <c r="AI139" s="29">
        <v>0</v>
      </c>
      <c r="AJ139" s="29">
        <v>2</v>
      </c>
      <c r="AK139" s="7"/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</row>
    <row r="140" spans="1:42" ht="15.75">
      <c r="A140" s="71" t="s">
        <v>138</v>
      </c>
      <c r="B140" s="71"/>
      <c r="C140" s="7" t="s">
        <v>139</v>
      </c>
      <c r="D140" s="7" t="s">
        <v>139</v>
      </c>
      <c r="E140" s="7"/>
      <c r="F140" s="7" t="s">
        <v>139</v>
      </c>
      <c r="G140" s="7" t="s">
        <v>139</v>
      </c>
      <c r="H140" s="7"/>
      <c r="I140" s="7" t="s">
        <v>139</v>
      </c>
      <c r="J140" s="7" t="s">
        <v>139</v>
      </c>
      <c r="K140" s="29"/>
      <c r="L140" s="7" t="s">
        <v>139</v>
      </c>
      <c r="M140" s="29" t="s">
        <v>139</v>
      </c>
      <c r="N140" s="7" t="s">
        <v>139</v>
      </c>
      <c r="O140" s="7" t="s">
        <v>139</v>
      </c>
      <c r="P140" s="7"/>
      <c r="Q140" s="7" t="s">
        <v>139</v>
      </c>
      <c r="R140" s="7" t="s">
        <v>139</v>
      </c>
      <c r="S140" s="7" t="s">
        <v>139</v>
      </c>
      <c r="T140" s="29" t="s">
        <v>139</v>
      </c>
      <c r="U140" s="29" t="s">
        <v>139</v>
      </c>
      <c r="W140" s="71"/>
      <c r="X140" s="29" t="s">
        <v>139</v>
      </c>
      <c r="Y140" s="29" t="s">
        <v>139</v>
      </c>
      <c r="AA140" s="29" t="s">
        <v>139</v>
      </c>
      <c r="AB140" s="29" t="s">
        <v>139</v>
      </c>
      <c r="AD140" s="29" t="s">
        <v>139</v>
      </c>
      <c r="AE140" s="29" t="s">
        <v>139</v>
      </c>
      <c r="AF140" s="29" t="s">
        <v>139</v>
      </c>
      <c r="AG140" s="29" t="s">
        <v>139</v>
      </c>
      <c r="AH140" s="29" t="s">
        <v>139</v>
      </c>
      <c r="AI140" s="29" t="s">
        <v>139</v>
      </c>
      <c r="AJ140" s="29" t="s">
        <v>139</v>
      </c>
      <c r="AK140" s="7"/>
      <c r="AL140" s="29" t="s">
        <v>139</v>
      </c>
      <c r="AM140" s="29" t="s">
        <v>139</v>
      </c>
      <c r="AN140" s="29" t="s">
        <v>139</v>
      </c>
      <c r="AO140" s="29" t="s">
        <v>139</v>
      </c>
      <c r="AP140" s="29" t="s">
        <v>139</v>
      </c>
    </row>
    <row r="141" spans="1:42" ht="15.75">
      <c r="A141" s="71" t="s">
        <v>140</v>
      </c>
      <c r="B141" s="71"/>
      <c r="C141" s="34">
        <f>2/3</f>
        <v>0.66666666666666663</v>
      </c>
      <c r="D141" s="107">
        <f>5/6</f>
        <v>0.83333333333333337</v>
      </c>
      <c r="E141" s="107"/>
      <c r="F141" s="107">
        <f>2/3</f>
        <v>0.66666666666666663</v>
      </c>
      <c r="G141" s="107">
        <f>2/3</f>
        <v>0.66666666666666663</v>
      </c>
      <c r="H141" s="107"/>
      <c r="I141" s="107">
        <f>2/3</f>
        <v>0.66666666666666663</v>
      </c>
      <c r="J141" s="107">
        <f>2/3</f>
        <v>0.66666666666666663</v>
      </c>
      <c r="K141" s="88"/>
      <c r="L141" s="107">
        <f>2/3</f>
        <v>0.66666666666666663</v>
      </c>
      <c r="M141" s="88">
        <f>2/3</f>
        <v>0.66666666666666663</v>
      </c>
      <c r="N141" s="107">
        <f>2/3</f>
        <v>0.66666666666666663</v>
      </c>
      <c r="O141" s="34">
        <f>2/3</f>
        <v>0.66666666666666663</v>
      </c>
      <c r="P141" s="107"/>
      <c r="Q141" s="107">
        <f>2/3</f>
        <v>0.66666666666666663</v>
      </c>
      <c r="R141" s="107">
        <f>2/3</f>
        <v>0.66666666666666663</v>
      </c>
      <c r="S141" s="107">
        <f>2/3</f>
        <v>0.66666666666666663</v>
      </c>
      <c r="T141" s="88">
        <f>2/3</f>
        <v>0.66666666666666663</v>
      </c>
      <c r="U141" s="88">
        <f>2/3</f>
        <v>0.66666666666666663</v>
      </c>
      <c r="V141" s="88"/>
      <c r="W141" s="71"/>
      <c r="X141" s="87">
        <f>2/3</f>
        <v>0.66666666666666663</v>
      </c>
      <c r="Y141" s="88">
        <f>5/6</f>
        <v>0.83333333333333337</v>
      </c>
      <c r="Z141" s="88"/>
      <c r="AA141" s="88">
        <f>2/3</f>
        <v>0.66666666666666663</v>
      </c>
      <c r="AB141" s="88">
        <f>2/3</f>
        <v>0.66666666666666663</v>
      </c>
      <c r="AC141" s="88"/>
      <c r="AD141" s="88">
        <f>2/3</f>
        <v>0.66666666666666663</v>
      </c>
      <c r="AE141" s="88">
        <f>2/3</f>
        <v>0.66666666666666663</v>
      </c>
      <c r="AF141" s="88">
        <f>3/4</f>
        <v>0.75</v>
      </c>
      <c r="AG141" s="88">
        <f>2/3</f>
        <v>0.66666666666666663</v>
      </c>
      <c r="AH141" s="88">
        <f>2/3</f>
        <v>0.66666666666666663</v>
      </c>
      <c r="AI141" s="88">
        <f>2/3</f>
        <v>0.66666666666666663</v>
      </c>
      <c r="AJ141" s="88">
        <f>2/3</f>
        <v>0.66666666666666663</v>
      </c>
      <c r="AK141" s="107"/>
      <c r="AL141" s="88">
        <f>2/3</f>
        <v>0.66666666666666663</v>
      </c>
      <c r="AM141" s="88">
        <f>2/3</f>
        <v>0.66666666666666663</v>
      </c>
      <c r="AN141" s="88">
        <f>2/3</f>
        <v>0.66666666666666663</v>
      </c>
      <c r="AO141" s="88">
        <f>2/3</f>
        <v>0.66666666666666663</v>
      </c>
      <c r="AP141" s="88">
        <f>2/3</f>
        <v>0.66666666666666663</v>
      </c>
    </row>
    <row r="142" spans="1:42" ht="15.75">
      <c r="A142" s="71" t="s">
        <v>146</v>
      </c>
      <c r="B142" s="71"/>
      <c r="C142" s="7">
        <v>64800</v>
      </c>
      <c r="D142" s="7">
        <v>64800</v>
      </c>
      <c r="E142" s="7"/>
      <c r="F142" s="7">
        <v>16200</v>
      </c>
      <c r="G142" s="7">
        <v>64800</v>
      </c>
      <c r="H142" s="7"/>
      <c r="I142" s="7">
        <v>16200</v>
      </c>
      <c r="J142" s="7">
        <v>16200</v>
      </c>
      <c r="K142" s="29"/>
      <c r="L142" s="7">
        <v>16200</v>
      </c>
      <c r="M142" s="29">
        <v>16200</v>
      </c>
      <c r="N142" s="7">
        <v>16200</v>
      </c>
      <c r="O142" s="7">
        <v>64800</v>
      </c>
      <c r="P142" s="7"/>
      <c r="Q142" s="7">
        <v>16200</v>
      </c>
      <c r="R142" s="7">
        <v>16200</v>
      </c>
      <c r="S142" s="7">
        <v>16200</v>
      </c>
      <c r="T142" s="29">
        <v>16200</v>
      </c>
      <c r="U142" s="29">
        <v>16200</v>
      </c>
      <c r="W142" s="71"/>
      <c r="X142" s="29">
        <v>64800</v>
      </c>
      <c r="Y142" s="29">
        <v>64800</v>
      </c>
      <c r="AA142" s="29">
        <v>16200</v>
      </c>
      <c r="AB142" s="29">
        <v>64800</v>
      </c>
      <c r="AD142" s="29">
        <v>16200</v>
      </c>
      <c r="AE142" s="29">
        <v>16200</v>
      </c>
      <c r="AF142" s="29">
        <v>64800</v>
      </c>
      <c r="AG142" s="29">
        <v>16200</v>
      </c>
      <c r="AH142" s="29">
        <v>16200</v>
      </c>
      <c r="AI142" s="29">
        <v>16200</v>
      </c>
      <c r="AJ142" s="29">
        <v>64800</v>
      </c>
      <c r="AK142" s="7"/>
      <c r="AL142" s="29">
        <v>16200</v>
      </c>
      <c r="AM142" s="29">
        <v>16200</v>
      </c>
      <c r="AN142" s="29">
        <v>16200</v>
      </c>
      <c r="AO142" s="29">
        <v>16200</v>
      </c>
      <c r="AP142" s="29">
        <v>16200</v>
      </c>
    </row>
    <row r="143" spans="1:42" ht="15.75">
      <c r="A143" s="71" t="s">
        <v>147</v>
      </c>
      <c r="B143" s="71"/>
      <c r="C143" s="7" t="s">
        <v>88</v>
      </c>
      <c r="D143" s="7" t="s">
        <v>88</v>
      </c>
      <c r="E143" s="7"/>
      <c r="F143" s="7" t="s">
        <v>88</v>
      </c>
      <c r="G143" s="7" t="s">
        <v>88</v>
      </c>
      <c r="H143" s="7"/>
      <c r="I143" s="7" t="s">
        <v>88</v>
      </c>
      <c r="J143" s="7" t="s">
        <v>88</v>
      </c>
      <c r="K143" s="29"/>
      <c r="L143" s="7" t="s">
        <v>88</v>
      </c>
      <c r="M143" s="29" t="s">
        <v>88</v>
      </c>
      <c r="N143" s="7" t="s">
        <v>88</v>
      </c>
      <c r="O143" s="7" t="s">
        <v>88</v>
      </c>
      <c r="P143" s="7"/>
      <c r="Q143" s="7" t="s">
        <v>88</v>
      </c>
      <c r="R143" s="7" t="s">
        <v>88</v>
      </c>
      <c r="S143" s="7" t="s">
        <v>88</v>
      </c>
      <c r="T143" s="29" t="s">
        <v>88</v>
      </c>
      <c r="U143" s="29" t="s">
        <v>88</v>
      </c>
      <c r="W143" s="71"/>
      <c r="X143" s="29" t="s">
        <v>88</v>
      </c>
      <c r="Y143" s="29" t="s">
        <v>88</v>
      </c>
      <c r="AA143" s="29" t="s">
        <v>88</v>
      </c>
      <c r="AB143" s="29" t="s">
        <v>88</v>
      </c>
      <c r="AD143" s="29" t="s">
        <v>88</v>
      </c>
      <c r="AE143" s="29" t="s">
        <v>88</v>
      </c>
      <c r="AF143" s="29" t="s">
        <v>88</v>
      </c>
      <c r="AG143" s="29" t="s">
        <v>88</v>
      </c>
      <c r="AH143" s="29" t="s">
        <v>88</v>
      </c>
      <c r="AI143" s="29" t="s">
        <v>88</v>
      </c>
      <c r="AJ143" s="29" t="s">
        <v>88</v>
      </c>
      <c r="AK143" s="7"/>
      <c r="AL143" s="29" t="s">
        <v>88</v>
      </c>
      <c r="AM143" s="29" t="s">
        <v>88</v>
      </c>
      <c r="AN143" s="29" t="s">
        <v>88</v>
      </c>
      <c r="AO143" s="29" t="s">
        <v>88</v>
      </c>
      <c r="AP143" s="29" t="s">
        <v>88</v>
      </c>
    </row>
    <row r="144" spans="1:42" ht="15.75">
      <c r="A144" s="71" t="s">
        <v>148</v>
      </c>
      <c r="B144" s="71"/>
      <c r="C144" s="7" t="s">
        <v>301</v>
      </c>
      <c r="D144" s="7" t="s">
        <v>301</v>
      </c>
      <c r="E144" s="7"/>
      <c r="F144" s="7">
        <v>20</v>
      </c>
      <c r="G144" s="7" t="s">
        <v>301</v>
      </c>
      <c r="H144" s="7"/>
      <c r="I144" s="7">
        <v>20</v>
      </c>
      <c r="J144" s="7">
        <v>20</v>
      </c>
      <c r="K144" s="29"/>
      <c r="L144" s="7">
        <v>20</v>
      </c>
      <c r="M144" s="29" t="s">
        <v>301</v>
      </c>
      <c r="N144" s="7">
        <v>20</v>
      </c>
      <c r="O144" s="7" t="s">
        <v>301</v>
      </c>
      <c r="P144" s="7"/>
      <c r="Q144" s="7">
        <v>20</v>
      </c>
      <c r="R144" s="7">
        <v>20</v>
      </c>
      <c r="S144" s="7">
        <v>20</v>
      </c>
      <c r="T144" s="29">
        <v>20</v>
      </c>
      <c r="U144" s="29">
        <v>20</v>
      </c>
      <c r="W144" s="71"/>
      <c r="X144" s="29" t="s">
        <v>301</v>
      </c>
      <c r="Y144" s="29" t="s">
        <v>301</v>
      </c>
      <c r="AA144" s="29">
        <v>20</v>
      </c>
      <c r="AB144" s="29" t="s">
        <v>301</v>
      </c>
      <c r="AD144" s="29">
        <v>20</v>
      </c>
      <c r="AE144" s="29">
        <v>20</v>
      </c>
      <c r="AF144" s="29" t="s">
        <v>301</v>
      </c>
      <c r="AG144" s="29">
        <v>20</v>
      </c>
      <c r="AH144" s="29">
        <v>20</v>
      </c>
      <c r="AI144" s="29">
        <v>20</v>
      </c>
      <c r="AJ144" s="29" t="s">
        <v>301</v>
      </c>
      <c r="AK144" s="7"/>
      <c r="AL144" s="29">
        <v>20</v>
      </c>
      <c r="AM144" s="29">
        <v>20</v>
      </c>
      <c r="AN144" s="29">
        <v>20</v>
      </c>
      <c r="AO144" s="29">
        <v>20</v>
      </c>
      <c r="AP144" s="29">
        <v>20</v>
      </c>
    </row>
    <row r="145" spans="1:42" ht="15.75">
      <c r="A145" s="71" t="s">
        <v>150</v>
      </c>
      <c r="B145" s="71"/>
      <c r="C145" s="7">
        <v>57</v>
      </c>
      <c r="D145" s="7">
        <v>53</v>
      </c>
      <c r="E145" s="7"/>
      <c r="F145" s="7">
        <v>20</v>
      </c>
      <c r="G145" s="7">
        <v>57</v>
      </c>
      <c r="H145" s="7"/>
      <c r="I145" s="7">
        <v>20</v>
      </c>
      <c r="J145" s="7">
        <v>20</v>
      </c>
      <c r="K145" s="29"/>
      <c r="L145" s="7">
        <v>20</v>
      </c>
      <c r="M145" s="29">
        <v>1</v>
      </c>
      <c r="N145" s="7">
        <v>20</v>
      </c>
      <c r="O145" s="7">
        <v>57</v>
      </c>
      <c r="P145" s="7"/>
      <c r="Q145" s="7">
        <v>20</v>
      </c>
      <c r="R145" s="7">
        <v>20</v>
      </c>
      <c r="S145" s="7">
        <v>20</v>
      </c>
      <c r="T145" s="29">
        <v>20</v>
      </c>
      <c r="U145" s="29">
        <v>20</v>
      </c>
      <c r="W145" s="71"/>
      <c r="X145" s="29">
        <v>57</v>
      </c>
      <c r="Y145" s="29">
        <v>53</v>
      </c>
      <c r="AA145" s="29">
        <v>20</v>
      </c>
      <c r="AB145" s="29">
        <v>57</v>
      </c>
      <c r="AD145" s="29">
        <v>20</v>
      </c>
      <c r="AE145" s="29">
        <v>20</v>
      </c>
      <c r="AF145" s="29">
        <v>13</v>
      </c>
      <c r="AG145" s="29">
        <v>20</v>
      </c>
      <c r="AH145" s="29">
        <v>20</v>
      </c>
      <c r="AI145" s="29">
        <v>20</v>
      </c>
      <c r="AJ145" s="29">
        <v>57</v>
      </c>
      <c r="AK145" s="7"/>
      <c r="AL145" s="29">
        <v>20</v>
      </c>
      <c r="AM145" s="29">
        <v>20</v>
      </c>
      <c r="AN145" s="29">
        <v>20</v>
      </c>
      <c r="AO145" s="29">
        <v>20</v>
      </c>
      <c r="AP145" s="29">
        <v>20</v>
      </c>
    </row>
    <row r="146" spans="1:42" ht="15.75">
      <c r="A146" s="71" t="s">
        <v>152</v>
      </c>
      <c r="B146" s="71"/>
      <c r="C146" s="7">
        <v>1</v>
      </c>
      <c r="D146" s="7">
        <v>1</v>
      </c>
      <c r="E146" s="7"/>
      <c r="F146" s="7">
        <v>1</v>
      </c>
      <c r="G146" s="7">
        <v>1</v>
      </c>
      <c r="H146" s="7"/>
      <c r="I146" s="7">
        <v>1</v>
      </c>
      <c r="J146" s="7">
        <v>1</v>
      </c>
      <c r="K146" s="29"/>
      <c r="L146" s="7">
        <v>1</v>
      </c>
      <c r="M146" s="29">
        <v>1</v>
      </c>
      <c r="N146" s="7">
        <v>1</v>
      </c>
      <c r="O146" s="7">
        <v>1</v>
      </c>
      <c r="P146" s="7"/>
      <c r="Q146" s="7">
        <v>1</v>
      </c>
      <c r="R146" s="7">
        <v>1</v>
      </c>
      <c r="S146" s="7">
        <v>1</v>
      </c>
      <c r="T146" s="29">
        <v>1</v>
      </c>
      <c r="U146" s="29">
        <v>1</v>
      </c>
      <c r="W146" s="71"/>
      <c r="X146" s="29">
        <v>1</v>
      </c>
      <c r="Y146" s="29">
        <v>1</v>
      </c>
      <c r="AA146" s="29">
        <v>1</v>
      </c>
      <c r="AB146" s="29">
        <v>1</v>
      </c>
      <c r="AD146" s="29">
        <v>1</v>
      </c>
      <c r="AE146" s="29">
        <v>1</v>
      </c>
      <c r="AF146" s="29">
        <v>1</v>
      </c>
      <c r="AG146" s="29">
        <v>1</v>
      </c>
      <c r="AH146" s="29">
        <v>1</v>
      </c>
      <c r="AI146" s="29">
        <v>1</v>
      </c>
      <c r="AJ146" s="29">
        <v>1</v>
      </c>
      <c r="AK146" s="7"/>
      <c r="AL146" s="29">
        <v>1</v>
      </c>
      <c r="AM146" s="29">
        <v>1</v>
      </c>
      <c r="AN146" s="29">
        <v>1</v>
      </c>
      <c r="AO146" s="29">
        <v>1</v>
      </c>
      <c r="AP146" s="29">
        <v>1</v>
      </c>
    </row>
    <row r="147" spans="1:42" ht="15.75">
      <c r="A147" s="71" t="s">
        <v>154</v>
      </c>
      <c r="B147" s="71"/>
      <c r="C147" s="7">
        <v>1</v>
      </c>
      <c r="D147" s="7">
        <v>1</v>
      </c>
      <c r="E147" s="7"/>
      <c r="F147" s="7">
        <v>1</v>
      </c>
      <c r="G147" s="7">
        <v>1</v>
      </c>
      <c r="H147" s="7"/>
      <c r="I147" s="7">
        <v>1</v>
      </c>
      <c r="J147" s="7">
        <v>1</v>
      </c>
      <c r="K147" s="29"/>
      <c r="L147" s="7">
        <v>1</v>
      </c>
      <c r="M147" s="29">
        <v>1</v>
      </c>
      <c r="N147" s="7">
        <v>1</v>
      </c>
      <c r="O147" s="7">
        <v>1</v>
      </c>
      <c r="P147" s="7"/>
      <c r="Q147" s="7">
        <v>1</v>
      </c>
      <c r="R147" s="7">
        <v>1</v>
      </c>
      <c r="S147" s="7">
        <v>1</v>
      </c>
      <c r="T147" s="29">
        <v>1</v>
      </c>
      <c r="U147" s="29">
        <v>1</v>
      </c>
      <c r="W147" s="71"/>
      <c r="X147" s="29">
        <v>1</v>
      </c>
      <c r="Y147" s="29">
        <v>1</v>
      </c>
      <c r="AA147" s="29">
        <v>1</v>
      </c>
      <c r="AB147" s="29">
        <v>1</v>
      </c>
      <c r="AD147" s="29">
        <v>1</v>
      </c>
      <c r="AE147" s="29">
        <v>1</v>
      </c>
      <c r="AF147" s="29">
        <v>1</v>
      </c>
      <c r="AG147" s="29">
        <v>1</v>
      </c>
      <c r="AH147" s="29">
        <v>1</v>
      </c>
      <c r="AI147" s="29">
        <v>1</v>
      </c>
      <c r="AJ147" s="29">
        <v>1</v>
      </c>
      <c r="AK147" s="7"/>
      <c r="AL147" s="29">
        <v>1</v>
      </c>
      <c r="AM147" s="29">
        <v>1</v>
      </c>
      <c r="AN147" s="29">
        <v>1</v>
      </c>
      <c r="AO147" s="29">
        <v>1</v>
      </c>
      <c r="AP147" s="29">
        <v>1</v>
      </c>
    </row>
    <row r="148" spans="1:42" ht="15.75">
      <c r="A148" s="71" t="s">
        <v>155</v>
      </c>
      <c r="B148" s="71"/>
      <c r="C148" s="7">
        <v>1</v>
      </c>
      <c r="D148" s="7">
        <v>1</v>
      </c>
      <c r="E148" s="7"/>
      <c r="F148" s="7">
        <v>1</v>
      </c>
      <c r="G148" s="7">
        <v>1</v>
      </c>
      <c r="H148" s="7"/>
      <c r="I148" s="7">
        <v>1</v>
      </c>
      <c r="J148" s="7">
        <v>1</v>
      </c>
      <c r="K148" s="29"/>
      <c r="L148" s="7">
        <v>1</v>
      </c>
      <c r="M148" s="29">
        <v>1</v>
      </c>
      <c r="N148" s="7">
        <v>1</v>
      </c>
      <c r="O148" s="7">
        <v>1</v>
      </c>
      <c r="P148" s="7"/>
      <c r="Q148" s="7">
        <v>1</v>
      </c>
      <c r="R148" s="7">
        <v>1</v>
      </c>
      <c r="S148" s="7">
        <v>1</v>
      </c>
      <c r="T148" s="29">
        <v>1</v>
      </c>
      <c r="U148" s="29">
        <v>1</v>
      </c>
      <c r="W148" s="71"/>
      <c r="X148" s="29">
        <v>1</v>
      </c>
      <c r="Y148" s="29">
        <v>1</v>
      </c>
      <c r="AA148" s="29">
        <v>1</v>
      </c>
      <c r="AB148" s="29">
        <v>1</v>
      </c>
      <c r="AD148" s="29">
        <v>1</v>
      </c>
      <c r="AE148" s="29">
        <v>1</v>
      </c>
      <c r="AF148" s="29">
        <v>1</v>
      </c>
      <c r="AG148" s="29">
        <v>1</v>
      </c>
      <c r="AH148" s="29">
        <v>1</v>
      </c>
      <c r="AI148" s="29">
        <v>1</v>
      </c>
      <c r="AJ148" s="29">
        <v>1</v>
      </c>
      <c r="AK148" s="7"/>
      <c r="AL148" s="29">
        <v>1</v>
      </c>
      <c r="AM148" s="29">
        <v>1</v>
      </c>
      <c r="AN148" s="29">
        <v>1</v>
      </c>
      <c r="AO148" s="29">
        <v>1</v>
      </c>
      <c r="AP148" s="29">
        <v>1</v>
      </c>
    </row>
    <row r="149" spans="1:42" ht="15.75">
      <c r="A149" s="71" t="s">
        <v>302</v>
      </c>
      <c r="B149" s="71"/>
      <c r="C149" s="7">
        <v>0</v>
      </c>
      <c r="D149" s="7">
        <v>0</v>
      </c>
      <c r="E149" s="7"/>
      <c r="F149" s="7">
        <v>0</v>
      </c>
      <c r="G149" s="7">
        <v>0</v>
      </c>
      <c r="H149" s="7"/>
      <c r="I149" s="7">
        <v>0</v>
      </c>
      <c r="J149" s="7">
        <v>0</v>
      </c>
      <c r="K149" s="29"/>
      <c r="L149" s="7">
        <v>0</v>
      </c>
      <c r="M149" s="29">
        <v>0</v>
      </c>
      <c r="N149" s="7">
        <v>0</v>
      </c>
      <c r="O149" s="7">
        <v>0</v>
      </c>
      <c r="P149" s="7"/>
      <c r="Q149" s="7">
        <v>0</v>
      </c>
      <c r="R149" s="7">
        <v>0</v>
      </c>
      <c r="S149" s="7">
        <v>0</v>
      </c>
      <c r="T149" s="29">
        <v>0</v>
      </c>
      <c r="U149" s="29">
        <v>0</v>
      </c>
      <c r="W149" s="71"/>
      <c r="X149" s="29">
        <v>0</v>
      </c>
      <c r="Y149" s="29">
        <v>0</v>
      </c>
      <c r="AA149" s="29">
        <v>0</v>
      </c>
      <c r="AB149" s="29">
        <v>0</v>
      </c>
      <c r="AD149" s="29">
        <v>0</v>
      </c>
      <c r="AE149" s="29">
        <v>0</v>
      </c>
      <c r="AF149" s="29">
        <v>0</v>
      </c>
      <c r="AG149" s="29">
        <v>0</v>
      </c>
      <c r="AH149" s="29">
        <v>0</v>
      </c>
      <c r="AI149" s="29">
        <v>0</v>
      </c>
      <c r="AJ149" s="29">
        <v>0</v>
      </c>
      <c r="AK149" s="7"/>
      <c r="AL149" s="29">
        <v>0</v>
      </c>
      <c r="AM149" s="29">
        <v>0</v>
      </c>
      <c r="AN149" s="29">
        <v>0</v>
      </c>
      <c r="AO149" s="29">
        <v>0</v>
      </c>
      <c r="AP149" s="29">
        <v>0</v>
      </c>
    </row>
    <row r="150" spans="1:42" ht="15.75">
      <c r="A150" s="89" t="s">
        <v>158</v>
      </c>
      <c r="B150" s="68"/>
      <c r="C150" s="96"/>
      <c r="D150" s="96"/>
      <c r="E150" s="96"/>
      <c r="F150" s="96"/>
      <c r="G150" s="96"/>
      <c r="H150" s="96"/>
      <c r="I150" s="96"/>
      <c r="J150" s="96"/>
      <c r="K150" s="70"/>
      <c r="L150" s="96"/>
      <c r="M150" s="96"/>
      <c r="N150" s="96"/>
      <c r="O150" s="96"/>
      <c r="P150" s="96"/>
      <c r="Q150" s="96"/>
      <c r="R150" s="96"/>
      <c r="S150" s="96"/>
      <c r="T150" s="70"/>
      <c r="U150" s="70"/>
      <c r="V150" s="70"/>
      <c r="W150" s="68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96"/>
      <c r="AL150" s="70"/>
      <c r="AM150" s="70"/>
      <c r="AN150" s="70"/>
      <c r="AO150" s="70"/>
      <c r="AP150" s="70"/>
    </row>
    <row r="151" spans="1:42" ht="15.75">
      <c r="A151" s="71" t="s">
        <v>159</v>
      </c>
      <c r="B151" s="71"/>
      <c r="C151" s="7" t="s">
        <v>160</v>
      </c>
      <c r="D151" s="7" t="s">
        <v>160</v>
      </c>
      <c r="E151" s="7"/>
      <c r="F151" s="7" t="s">
        <v>160</v>
      </c>
      <c r="G151" s="7" t="s">
        <v>160</v>
      </c>
      <c r="H151" s="7"/>
      <c r="I151" s="7" t="s">
        <v>160</v>
      </c>
      <c r="J151" s="7" t="s">
        <v>160</v>
      </c>
      <c r="K151" s="29"/>
      <c r="L151" s="7" t="s">
        <v>160</v>
      </c>
      <c r="M151" s="29" t="s">
        <v>162</v>
      </c>
      <c r="N151" s="7" t="s">
        <v>160</v>
      </c>
      <c r="O151" s="7" t="s">
        <v>160</v>
      </c>
      <c r="P151" s="7"/>
      <c r="Q151" s="7" t="s">
        <v>160</v>
      </c>
      <c r="R151" s="7" t="s">
        <v>160</v>
      </c>
      <c r="S151" s="7" t="s">
        <v>160</v>
      </c>
      <c r="T151" s="29" t="s">
        <v>160</v>
      </c>
      <c r="U151" s="29" t="s">
        <v>162</v>
      </c>
      <c r="W151" s="71"/>
      <c r="X151" s="29" t="s">
        <v>160</v>
      </c>
      <c r="Y151" s="29" t="s">
        <v>160</v>
      </c>
      <c r="AA151" s="29" t="s">
        <v>160</v>
      </c>
      <c r="AB151" s="29" t="s">
        <v>160</v>
      </c>
      <c r="AD151" s="29" t="s">
        <v>160</v>
      </c>
      <c r="AE151" s="29" t="s">
        <v>160</v>
      </c>
      <c r="AF151" s="29" t="s">
        <v>160</v>
      </c>
      <c r="AG151" s="29" t="s">
        <v>160</v>
      </c>
      <c r="AH151" s="29" t="s">
        <v>160</v>
      </c>
      <c r="AI151" s="29" t="s">
        <v>160</v>
      </c>
      <c r="AJ151" s="29" t="s">
        <v>160</v>
      </c>
      <c r="AK151" s="7"/>
      <c r="AL151" s="29" t="s">
        <v>160</v>
      </c>
      <c r="AM151" s="29" t="s">
        <v>160</v>
      </c>
      <c r="AN151" s="29" t="s">
        <v>160</v>
      </c>
      <c r="AO151" s="29" t="s">
        <v>160</v>
      </c>
      <c r="AP151" s="29" t="s">
        <v>162</v>
      </c>
    </row>
    <row r="152" spans="1:42" ht="15.75">
      <c r="A152" s="71" t="s">
        <v>163</v>
      </c>
      <c r="B152" s="71"/>
      <c r="C152" s="7" t="s">
        <v>88</v>
      </c>
      <c r="D152" s="7" t="s">
        <v>88</v>
      </c>
      <c r="E152" s="7"/>
      <c r="F152" s="7" t="s">
        <v>88</v>
      </c>
      <c r="G152" s="7" t="s">
        <v>88</v>
      </c>
      <c r="H152" s="7"/>
      <c r="I152" s="7" t="s">
        <v>88</v>
      </c>
      <c r="J152" s="7" t="s">
        <v>88</v>
      </c>
      <c r="K152" s="29"/>
      <c r="L152" s="7" t="s">
        <v>88</v>
      </c>
      <c r="M152" s="29" t="s">
        <v>88</v>
      </c>
      <c r="N152" s="7" t="s">
        <v>88</v>
      </c>
      <c r="O152" s="7" t="s">
        <v>88</v>
      </c>
      <c r="P152" s="7"/>
      <c r="Q152" s="7" t="s">
        <v>88</v>
      </c>
      <c r="R152" s="7" t="s">
        <v>88</v>
      </c>
      <c r="S152" s="7" t="s">
        <v>88</v>
      </c>
      <c r="T152" s="29" t="s">
        <v>88</v>
      </c>
      <c r="U152" s="29" t="s">
        <v>88</v>
      </c>
      <c r="W152" s="71"/>
      <c r="X152" s="29" t="s">
        <v>88</v>
      </c>
      <c r="Y152" s="29" t="s">
        <v>88</v>
      </c>
      <c r="AA152" s="29" t="s">
        <v>88</v>
      </c>
      <c r="AB152" s="29" t="s">
        <v>88</v>
      </c>
      <c r="AD152" s="29" t="s">
        <v>88</v>
      </c>
      <c r="AE152" s="29" t="s">
        <v>88</v>
      </c>
      <c r="AF152" s="29" t="s">
        <v>88</v>
      </c>
      <c r="AG152" s="29" t="s">
        <v>88</v>
      </c>
      <c r="AH152" s="29" t="s">
        <v>88</v>
      </c>
      <c r="AI152" s="29" t="s">
        <v>88</v>
      </c>
      <c r="AJ152" s="29" t="s">
        <v>88</v>
      </c>
      <c r="AK152" s="7"/>
      <c r="AL152" s="29" t="s">
        <v>88</v>
      </c>
      <c r="AM152" s="29" t="s">
        <v>88</v>
      </c>
      <c r="AN152" s="29" t="s">
        <v>88</v>
      </c>
      <c r="AO152" s="29" t="s">
        <v>88</v>
      </c>
      <c r="AP152" s="29" t="s">
        <v>88</v>
      </c>
    </row>
    <row r="153" spans="1:42" ht="15.75">
      <c r="A153" s="71" t="s">
        <v>165</v>
      </c>
      <c r="B153" s="71"/>
      <c r="C153" s="7">
        <f>197*8192</f>
        <v>1613824</v>
      </c>
      <c r="D153" s="7">
        <f>204*8192</f>
        <v>1671168</v>
      </c>
      <c r="E153" s="7"/>
      <c r="F153" s="7">
        <f>320*1024</f>
        <v>327680</v>
      </c>
      <c r="G153" s="7">
        <f>197*8192</f>
        <v>1613824</v>
      </c>
      <c r="H153" s="7"/>
      <c r="I153" s="7">
        <f>320*1024</f>
        <v>327680</v>
      </c>
      <c r="J153" s="7">
        <f>320*1024</f>
        <v>327680</v>
      </c>
      <c r="K153" s="29"/>
      <c r="L153" s="7">
        <f>320*1024</f>
        <v>327680</v>
      </c>
      <c r="M153" s="29">
        <f>1024*1024</f>
        <v>1048576</v>
      </c>
      <c r="N153" s="7">
        <f>320*1024</f>
        <v>327680</v>
      </c>
      <c r="O153" s="7">
        <f>197*8192</f>
        <v>1613824</v>
      </c>
      <c r="P153" s="7"/>
      <c r="Q153" s="7">
        <f>320*1024</f>
        <v>327680</v>
      </c>
      <c r="R153" s="7">
        <f>320*1024</f>
        <v>327680</v>
      </c>
      <c r="S153" s="7">
        <f>320*1024</f>
        <v>327680</v>
      </c>
      <c r="T153" s="29">
        <f>320*1024</f>
        <v>327680</v>
      </c>
      <c r="U153" s="29">
        <f>320*1024</f>
        <v>327680</v>
      </c>
      <c r="W153" s="71"/>
      <c r="X153" s="29">
        <f>X128</f>
        <v>1671168</v>
      </c>
      <c r="Y153" s="29">
        <f>Y128</f>
        <v>1671168</v>
      </c>
      <c r="AA153" s="29">
        <f>336*1024</f>
        <v>344064</v>
      </c>
      <c r="AB153" s="29">
        <f>AB128</f>
        <v>1671168</v>
      </c>
      <c r="AD153" s="29">
        <f>336*1024</f>
        <v>344064</v>
      </c>
      <c r="AE153" s="29">
        <f>336*1024</f>
        <v>344064</v>
      </c>
      <c r="AF153" s="29">
        <f>AF128</f>
        <v>1048576</v>
      </c>
      <c r="AG153" s="29">
        <f>336*1024</f>
        <v>344064</v>
      </c>
      <c r="AH153" s="29">
        <f>320*1024</f>
        <v>327680</v>
      </c>
      <c r="AI153" s="29">
        <f>320*1024</f>
        <v>327680</v>
      </c>
      <c r="AJ153" s="29">
        <f>AJ128</f>
        <v>1671168</v>
      </c>
      <c r="AK153" s="7"/>
      <c r="AL153" s="29">
        <f>320*1024</f>
        <v>327680</v>
      </c>
      <c r="AM153" s="29">
        <f>320*1024</f>
        <v>327680</v>
      </c>
      <c r="AN153" s="29">
        <f>336*1024</f>
        <v>344064</v>
      </c>
      <c r="AO153" s="29">
        <f>320*1024</f>
        <v>327680</v>
      </c>
      <c r="AP153" s="29">
        <f>320*1024</f>
        <v>327680</v>
      </c>
    </row>
    <row r="154" spans="1:42" ht="15.75">
      <c r="A154" s="71"/>
      <c r="B154" s="71"/>
      <c r="C154" s="108"/>
      <c r="D154" s="108"/>
      <c r="E154" s="108"/>
      <c r="F154" s="108"/>
      <c r="G154" s="108"/>
      <c r="H154" s="108"/>
      <c r="I154" s="108"/>
      <c r="J154" s="108"/>
      <c r="K154" s="29"/>
      <c r="L154" s="108"/>
      <c r="M154" s="29"/>
      <c r="N154" s="108"/>
      <c r="O154" s="108"/>
      <c r="P154" s="108"/>
      <c r="Q154" s="108"/>
      <c r="R154" s="108"/>
      <c r="S154" s="108"/>
      <c r="W154" s="71"/>
      <c r="AE154" s="29"/>
      <c r="AF154" s="29"/>
      <c r="AG154" s="29"/>
      <c r="AI154" s="29"/>
      <c r="AK154" s="108"/>
      <c r="AL154" s="29"/>
      <c r="AM154" s="29"/>
      <c r="AN154" s="29"/>
      <c r="AO154" s="29"/>
      <c r="AP154" s="29"/>
    </row>
    <row r="155" spans="1:42" ht="15.75">
      <c r="A155" s="71" t="s">
        <v>166</v>
      </c>
      <c r="B155" s="71"/>
      <c r="C155" s="7">
        <v>938675</v>
      </c>
      <c r="D155" s="7">
        <v>937468</v>
      </c>
      <c r="E155" s="7"/>
      <c r="F155" s="7">
        <v>947563</v>
      </c>
      <c r="G155" s="7">
        <v>938668</v>
      </c>
      <c r="H155" s="7"/>
      <c r="I155" s="7">
        <f t="shared" ref="I155:O155" si="16">I130</f>
        <v>946700</v>
      </c>
      <c r="J155" s="7">
        <f t="shared" si="16"/>
        <v>948024</v>
      </c>
      <c r="K155" s="7"/>
      <c r="L155" s="7">
        <f t="shared" si="16"/>
        <v>947375</v>
      </c>
      <c r="M155" s="7">
        <f xml:space="preserve"> 931328+26004</f>
        <v>957332</v>
      </c>
      <c r="N155" s="7">
        <f t="shared" si="16"/>
        <v>949985</v>
      </c>
      <c r="O155" s="7">
        <f t="shared" si="16"/>
        <v>939294</v>
      </c>
      <c r="P155" s="7"/>
      <c r="Q155" s="7">
        <f>Q130</f>
        <v>946622</v>
      </c>
      <c r="R155" s="7">
        <f>R130</f>
        <v>946622</v>
      </c>
      <c r="S155" s="7">
        <f>S130</f>
        <v>946700</v>
      </c>
      <c r="T155" s="29">
        <f>T130</f>
        <v>988795</v>
      </c>
      <c r="U155" s="29">
        <f>U130</f>
        <v>938619</v>
      </c>
      <c r="W155" s="71"/>
      <c r="X155" s="29">
        <f>X130</f>
        <v>939080</v>
      </c>
      <c r="Y155" s="29">
        <f>Y130</f>
        <v>937766</v>
      </c>
      <c r="AA155" s="29">
        <f>AA130</f>
        <v>948250</v>
      </c>
      <c r="AB155" s="29">
        <f>AB130</f>
        <v>939058</v>
      </c>
      <c r="AD155" s="29">
        <f t="shared" ref="AD155:AJ155" si="17">AD130</f>
        <v>948250</v>
      </c>
      <c r="AE155" s="29">
        <f t="shared" si="17"/>
        <v>950899</v>
      </c>
      <c r="AF155" s="29">
        <f t="shared" si="17"/>
        <v>955416</v>
      </c>
      <c r="AG155" s="29">
        <f t="shared" si="17"/>
        <v>947375</v>
      </c>
      <c r="AH155" s="29">
        <f t="shared" si="17"/>
        <v>951412</v>
      </c>
      <c r="AI155" s="29">
        <f t="shared" si="17"/>
        <v>949985</v>
      </c>
      <c r="AJ155" s="29">
        <f t="shared" si="17"/>
        <v>939294</v>
      </c>
      <c r="AK155" s="7"/>
      <c r="AL155" s="29">
        <f>AL130</f>
        <v>946622</v>
      </c>
      <c r="AM155" s="29">
        <f>AM130</f>
        <v>946622</v>
      </c>
      <c r="AN155" s="29">
        <f>AN130</f>
        <v>946700</v>
      </c>
      <c r="AO155" s="29">
        <f>AO130</f>
        <v>988795</v>
      </c>
      <c r="AP155" s="29">
        <f>AP130</f>
        <v>938619</v>
      </c>
    </row>
    <row r="156" spans="1:42" ht="15.75">
      <c r="A156" s="91" t="s">
        <v>83</v>
      </c>
      <c r="B156" s="71"/>
      <c r="C156" s="28" t="s">
        <v>88</v>
      </c>
      <c r="D156" s="7" t="s">
        <v>88</v>
      </c>
      <c r="E156" s="7"/>
      <c r="F156" s="7" t="s">
        <v>88</v>
      </c>
      <c r="G156" s="7" t="s">
        <v>88</v>
      </c>
      <c r="H156" s="7"/>
      <c r="I156" s="7" t="s">
        <v>88</v>
      </c>
      <c r="J156" s="7" t="s">
        <v>88</v>
      </c>
      <c r="K156" s="29"/>
      <c r="L156" s="7" t="s">
        <v>88</v>
      </c>
      <c r="M156" s="29" t="s">
        <v>88</v>
      </c>
      <c r="N156" s="7" t="s">
        <v>88</v>
      </c>
      <c r="O156" s="28" t="s">
        <v>88</v>
      </c>
      <c r="P156" s="7"/>
      <c r="Q156" s="7" t="s">
        <v>88</v>
      </c>
      <c r="R156" s="7" t="s">
        <v>88</v>
      </c>
      <c r="S156" s="7" t="s">
        <v>88</v>
      </c>
      <c r="T156" s="29" t="s">
        <v>88</v>
      </c>
      <c r="U156" s="29" t="s">
        <v>88</v>
      </c>
      <c r="W156" s="71"/>
      <c r="X156" s="85" t="s">
        <v>88</v>
      </c>
      <c r="Y156" s="29" t="s">
        <v>88</v>
      </c>
      <c r="AA156" s="29" t="s">
        <v>88</v>
      </c>
      <c r="AB156" s="29" t="s">
        <v>88</v>
      </c>
      <c r="AD156" s="29" t="s">
        <v>88</v>
      </c>
      <c r="AE156" s="29" t="s">
        <v>88</v>
      </c>
      <c r="AF156" s="29" t="s">
        <v>88</v>
      </c>
      <c r="AG156" s="29" t="s">
        <v>88</v>
      </c>
      <c r="AH156" s="29" t="s">
        <v>88</v>
      </c>
      <c r="AI156" s="29" t="s">
        <v>88</v>
      </c>
      <c r="AJ156" s="29" t="s">
        <v>88</v>
      </c>
      <c r="AK156" s="7"/>
      <c r="AL156" s="29" t="s">
        <v>88</v>
      </c>
      <c r="AM156" s="29" t="s">
        <v>88</v>
      </c>
      <c r="AN156" s="29" t="s">
        <v>88</v>
      </c>
      <c r="AO156" s="29" t="s">
        <v>88</v>
      </c>
      <c r="AP156" s="29" t="s">
        <v>88</v>
      </c>
    </row>
    <row r="157" spans="1:42" ht="15.75">
      <c r="A157" s="91" t="s">
        <v>168</v>
      </c>
      <c r="B157" s="71"/>
      <c r="C157" s="92" t="s">
        <v>303</v>
      </c>
      <c r="D157" s="92" t="s">
        <v>303</v>
      </c>
      <c r="E157" s="92"/>
      <c r="F157" s="92" t="s">
        <v>303</v>
      </c>
      <c r="G157" s="92" t="s">
        <v>303</v>
      </c>
      <c r="H157" s="92" t="s">
        <v>303</v>
      </c>
      <c r="I157" s="92" t="s">
        <v>303</v>
      </c>
      <c r="J157" s="92" t="s">
        <v>303</v>
      </c>
      <c r="K157" s="92"/>
      <c r="L157" s="92" t="s">
        <v>303</v>
      </c>
      <c r="M157" s="92" t="s">
        <v>303</v>
      </c>
      <c r="N157" s="92" t="s">
        <v>303</v>
      </c>
      <c r="O157" s="92" t="s">
        <v>304</v>
      </c>
      <c r="P157" s="52"/>
      <c r="Q157" s="92" t="s">
        <v>303</v>
      </c>
      <c r="R157" s="92" t="s">
        <v>303</v>
      </c>
      <c r="S157" s="92" t="s">
        <v>303</v>
      </c>
      <c r="T157" s="92" t="s">
        <v>303</v>
      </c>
      <c r="U157" s="92" t="s">
        <v>303</v>
      </c>
      <c r="V157" s="92"/>
      <c r="W157" s="71"/>
      <c r="X157" s="92" t="s">
        <v>303</v>
      </c>
      <c r="Y157" s="92" t="s">
        <v>303</v>
      </c>
      <c r="Z157" s="92"/>
      <c r="AA157" s="92" t="s">
        <v>303</v>
      </c>
      <c r="AB157" s="92" t="s">
        <v>303</v>
      </c>
      <c r="AC157" s="92"/>
      <c r="AD157" s="92" t="s">
        <v>303</v>
      </c>
      <c r="AE157" s="92" t="s">
        <v>303</v>
      </c>
      <c r="AF157" s="92" t="s">
        <v>303</v>
      </c>
      <c r="AG157" s="92" t="s">
        <v>303</v>
      </c>
      <c r="AH157" s="92" t="s">
        <v>303</v>
      </c>
      <c r="AI157" s="92" t="s">
        <v>303</v>
      </c>
      <c r="AJ157" s="92" t="s">
        <v>304</v>
      </c>
      <c r="AK157" s="52"/>
      <c r="AL157" s="92" t="s">
        <v>303</v>
      </c>
      <c r="AM157" s="92" t="s">
        <v>303</v>
      </c>
      <c r="AN157" s="92" t="s">
        <v>303</v>
      </c>
      <c r="AO157" s="92" t="s">
        <v>303</v>
      </c>
      <c r="AP157" s="92" t="s">
        <v>303</v>
      </c>
    </row>
    <row r="158" spans="1:42" ht="31.5">
      <c r="A158" s="91" t="s">
        <v>170</v>
      </c>
      <c r="B158" s="71"/>
      <c r="C158" s="28">
        <v>0</v>
      </c>
      <c r="D158" s="7">
        <v>0</v>
      </c>
      <c r="E158" s="7"/>
      <c r="F158" s="7">
        <v>0</v>
      </c>
      <c r="G158" s="7">
        <v>0</v>
      </c>
      <c r="H158" s="7"/>
      <c r="I158" s="7">
        <v>0</v>
      </c>
      <c r="J158" s="7">
        <v>0</v>
      </c>
      <c r="K158" s="29"/>
      <c r="L158" s="7">
        <v>0</v>
      </c>
      <c r="M158" s="29">
        <v>0</v>
      </c>
      <c r="N158" s="7">
        <v>0</v>
      </c>
      <c r="O158" s="28">
        <v>0</v>
      </c>
      <c r="P158" s="7"/>
      <c r="Q158" s="7">
        <v>0</v>
      </c>
      <c r="R158" s="7">
        <v>0</v>
      </c>
      <c r="S158" s="7">
        <v>0</v>
      </c>
      <c r="T158" s="29">
        <v>0</v>
      </c>
      <c r="U158" s="29">
        <v>0</v>
      </c>
      <c r="W158" s="71"/>
      <c r="X158" s="92">
        <v>0</v>
      </c>
      <c r="Y158" s="29">
        <v>0</v>
      </c>
      <c r="AA158" s="29">
        <v>0</v>
      </c>
      <c r="AB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7"/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</row>
    <row r="159" spans="1:42" ht="31.5">
      <c r="A159" s="91" t="s">
        <v>305</v>
      </c>
      <c r="B159" s="71"/>
      <c r="C159" s="30"/>
      <c r="D159" s="30"/>
      <c r="E159" s="30"/>
      <c r="F159" s="30"/>
      <c r="G159" s="30"/>
      <c r="H159" s="30"/>
      <c r="I159" s="30"/>
      <c r="J159" s="30"/>
      <c r="K159" s="80"/>
      <c r="L159" s="30"/>
      <c r="M159" s="29"/>
      <c r="N159" s="30"/>
      <c r="O159" s="30"/>
      <c r="P159" s="30"/>
      <c r="Q159" s="30"/>
      <c r="R159" s="30"/>
      <c r="S159" s="30"/>
      <c r="T159" s="80"/>
      <c r="U159" s="80"/>
      <c r="V159" s="80"/>
      <c r="W159" s="71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30"/>
      <c r="AL159" s="80"/>
      <c r="AM159" s="80"/>
      <c r="AN159" s="80"/>
      <c r="AO159" s="80"/>
      <c r="AP159" s="80"/>
    </row>
    <row r="160" spans="1:42" ht="31.5">
      <c r="A160" s="91" t="s">
        <v>306</v>
      </c>
      <c r="B160" s="71"/>
      <c r="C160" s="30"/>
      <c r="D160" s="30"/>
      <c r="E160" s="30"/>
      <c r="F160" s="30"/>
      <c r="G160" s="30"/>
      <c r="H160" s="30"/>
      <c r="I160" s="30"/>
      <c r="J160" s="30"/>
      <c r="K160" s="80"/>
      <c r="L160" s="30"/>
      <c r="M160" s="29"/>
      <c r="N160" s="30"/>
      <c r="O160" s="30"/>
      <c r="P160" s="30"/>
      <c r="Q160" s="30"/>
      <c r="R160" s="30"/>
      <c r="S160" s="30"/>
      <c r="T160" s="80"/>
      <c r="U160" s="80"/>
      <c r="V160" s="80"/>
      <c r="W160" s="71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30"/>
      <c r="AL160" s="80"/>
      <c r="AM160" s="80"/>
      <c r="AN160" s="80"/>
      <c r="AO160" s="80"/>
      <c r="AP160" s="80"/>
    </row>
    <row r="161" spans="1:42" ht="15.75">
      <c r="A161" s="68" t="s">
        <v>313</v>
      </c>
      <c r="B161" s="68"/>
      <c r="C161" s="96"/>
      <c r="D161" s="96"/>
      <c r="E161" s="96"/>
      <c r="F161" s="96"/>
      <c r="G161" s="96"/>
      <c r="H161" s="96"/>
      <c r="I161" s="96"/>
      <c r="J161" s="96"/>
      <c r="K161" s="70"/>
      <c r="L161" s="96"/>
      <c r="M161" s="70" t="s">
        <v>314</v>
      </c>
      <c r="N161" s="70" t="s">
        <v>345</v>
      </c>
      <c r="O161" s="96"/>
      <c r="P161" s="96"/>
      <c r="Q161" s="96"/>
      <c r="R161" s="96"/>
      <c r="S161" s="96"/>
      <c r="T161" s="70"/>
      <c r="U161" s="70"/>
      <c r="V161" s="70"/>
      <c r="W161" s="68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 t="s">
        <v>344</v>
      </c>
      <c r="AI161" s="70" t="s">
        <v>345</v>
      </c>
      <c r="AJ161" s="70"/>
      <c r="AK161" s="96"/>
      <c r="AL161" s="70"/>
      <c r="AM161" s="70"/>
      <c r="AN161" s="70"/>
      <c r="AO161" s="70"/>
      <c r="AP161" s="70"/>
    </row>
    <row r="162" spans="1:42" ht="15.75">
      <c r="A162" s="86" t="s">
        <v>136</v>
      </c>
      <c r="C162" s="7">
        <v>4</v>
      </c>
      <c r="D162" s="7">
        <v>4</v>
      </c>
      <c r="E162" s="7"/>
      <c r="F162" s="7">
        <v>4</v>
      </c>
      <c r="G162" s="7">
        <v>4</v>
      </c>
      <c r="H162" s="7"/>
      <c r="I162" s="7">
        <v>4</v>
      </c>
      <c r="J162" s="7">
        <v>4</v>
      </c>
      <c r="K162" s="29"/>
      <c r="L162" s="7">
        <v>4</v>
      </c>
      <c r="M162" s="29">
        <v>86</v>
      </c>
      <c r="N162" s="29" t="s">
        <v>312</v>
      </c>
      <c r="O162" s="7">
        <v>4</v>
      </c>
      <c r="P162" s="7"/>
      <c r="Q162" s="7">
        <v>4</v>
      </c>
      <c r="R162" s="7">
        <v>4</v>
      </c>
      <c r="S162" s="7">
        <v>4</v>
      </c>
      <c r="W162" s="51"/>
      <c r="X162" s="29">
        <v>4</v>
      </c>
      <c r="Y162" s="29">
        <v>4</v>
      </c>
      <c r="AA162" s="29">
        <v>4</v>
      </c>
      <c r="AB162" s="29">
        <v>4</v>
      </c>
      <c r="AD162" s="29">
        <v>4</v>
      </c>
      <c r="AE162" s="29">
        <v>4</v>
      </c>
      <c r="AF162" s="29">
        <v>253</v>
      </c>
      <c r="AG162" s="29">
        <v>4</v>
      </c>
      <c r="AH162" s="29" t="s">
        <v>311</v>
      </c>
      <c r="AI162" s="29" t="s">
        <v>312</v>
      </c>
      <c r="AJ162" s="29">
        <v>4</v>
      </c>
      <c r="AK162" s="7"/>
      <c r="AL162" s="29">
        <v>4</v>
      </c>
      <c r="AM162" s="29">
        <v>4</v>
      </c>
      <c r="AN162" s="29">
        <v>4</v>
      </c>
      <c r="AO162" s="29"/>
      <c r="AP162" s="29"/>
    </row>
    <row r="163" spans="1:42" ht="15.75">
      <c r="A163" s="71" t="s">
        <v>300</v>
      </c>
      <c r="B163" s="86"/>
      <c r="C163" s="7">
        <v>0</v>
      </c>
      <c r="D163" s="7">
        <v>0</v>
      </c>
      <c r="E163" s="7"/>
      <c r="F163" s="7">
        <v>1</v>
      </c>
      <c r="G163" s="7">
        <v>0</v>
      </c>
      <c r="H163" s="7"/>
      <c r="I163" s="7">
        <v>1</v>
      </c>
      <c r="J163" s="7">
        <v>1</v>
      </c>
      <c r="K163" s="29"/>
      <c r="L163" s="7">
        <v>1</v>
      </c>
      <c r="M163" s="29">
        <v>1</v>
      </c>
      <c r="N163" s="29">
        <v>1</v>
      </c>
      <c r="O163" s="7">
        <v>0</v>
      </c>
      <c r="P163" s="7"/>
      <c r="Q163" s="7">
        <v>1</v>
      </c>
      <c r="R163" s="7">
        <v>1</v>
      </c>
      <c r="S163" s="7">
        <v>1</v>
      </c>
      <c r="W163" s="86"/>
      <c r="X163" s="29">
        <v>0</v>
      </c>
      <c r="Y163" s="29">
        <v>0</v>
      </c>
      <c r="AA163" s="29">
        <v>1</v>
      </c>
      <c r="AB163" s="29">
        <v>0</v>
      </c>
      <c r="AD163" s="29">
        <v>1</v>
      </c>
      <c r="AE163" s="29">
        <v>1</v>
      </c>
      <c r="AF163" s="29">
        <v>255</v>
      </c>
      <c r="AG163" s="29">
        <v>1</v>
      </c>
      <c r="AH163" s="29">
        <v>1</v>
      </c>
      <c r="AI163" s="29">
        <v>1</v>
      </c>
      <c r="AJ163" s="29">
        <v>0</v>
      </c>
      <c r="AK163" s="7"/>
      <c r="AL163" s="29">
        <v>1</v>
      </c>
      <c r="AM163" s="29">
        <v>1</v>
      </c>
      <c r="AN163" s="29">
        <v>1</v>
      </c>
      <c r="AO163" s="29"/>
      <c r="AP163" s="29"/>
    </row>
    <row r="164" spans="1:42" ht="15.75">
      <c r="A164" s="71" t="s">
        <v>137</v>
      </c>
      <c r="C164" s="7">
        <v>0</v>
      </c>
      <c r="D164" s="7">
        <v>0</v>
      </c>
      <c r="E164" s="7"/>
      <c r="F164" s="7">
        <v>1</v>
      </c>
      <c r="G164" s="7">
        <v>0</v>
      </c>
      <c r="H164" s="7"/>
      <c r="I164" s="7">
        <v>1</v>
      </c>
      <c r="J164" s="7">
        <v>1</v>
      </c>
      <c r="K164" s="29"/>
      <c r="L164" s="7">
        <v>1</v>
      </c>
      <c r="M164" s="29">
        <v>0</v>
      </c>
      <c r="N164" s="29">
        <v>2</v>
      </c>
      <c r="O164" s="7">
        <v>0</v>
      </c>
      <c r="P164" s="7"/>
      <c r="Q164" s="7">
        <v>1</v>
      </c>
      <c r="R164" s="7">
        <v>1</v>
      </c>
      <c r="S164" s="7">
        <v>1</v>
      </c>
      <c r="W164" s="51"/>
      <c r="X164" s="29">
        <v>0</v>
      </c>
      <c r="Y164" s="29">
        <v>0</v>
      </c>
      <c r="AA164" s="29">
        <v>1</v>
      </c>
      <c r="AB164" s="29">
        <v>0</v>
      </c>
      <c r="AD164" s="29">
        <v>1</v>
      </c>
      <c r="AE164" s="29">
        <v>1</v>
      </c>
      <c r="AF164" s="29">
        <v>2</v>
      </c>
      <c r="AG164" s="29">
        <v>1</v>
      </c>
      <c r="AH164" s="29">
        <v>2</v>
      </c>
      <c r="AI164" s="29">
        <v>2</v>
      </c>
      <c r="AJ164" s="29">
        <v>0</v>
      </c>
      <c r="AK164" s="7"/>
      <c r="AL164" s="29">
        <v>1</v>
      </c>
      <c r="AM164" s="29">
        <v>1</v>
      </c>
      <c r="AN164" s="29">
        <v>1</v>
      </c>
      <c r="AO164" s="29"/>
      <c r="AP164" s="29"/>
    </row>
    <row r="165" spans="1:42" ht="15.75">
      <c r="A165" s="71" t="s">
        <v>138</v>
      </c>
      <c r="C165" s="7" t="s">
        <v>99</v>
      </c>
      <c r="D165" s="7" t="s">
        <v>139</v>
      </c>
      <c r="E165" s="7"/>
      <c r="F165" s="7" t="s">
        <v>101</v>
      </c>
      <c r="G165" s="7" t="s">
        <v>99</v>
      </c>
      <c r="H165" s="7"/>
      <c r="I165" s="7" t="s">
        <v>101</v>
      </c>
      <c r="J165" s="7" t="s">
        <v>101</v>
      </c>
      <c r="K165" s="29"/>
      <c r="L165" s="7" t="s">
        <v>101</v>
      </c>
      <c r="M165" s="29" t="s">
        <v>139</v>
      </c>
      <c r="N165" s="29" t="s">
        <v>139</v>
      </c>
      <c r="O165" s="7" t="s">
        <v>99</v>
      </c>
      <c r="P165" s="7"/>
      <c r="Q165" s="7" t="s">
        <v>101</v>
      </c>
      <c r="R165" s="7" t="s">
        <v>101</v>
      </c>
      <c r="S165" s="7" t="s">
        <v>101</v>
      </c>
      <c r="W165" s="51"/>
      <c r="X165" s="29" t="s">
        <v>99</v>
      </c>
      <c r="Y165" s="29" t="s">
        <v>139</v>
      </c>
      <c r="AA165" s="29" t="s">
        <v>101</v>
      </c>
      <c r="AB165" s="29" t="s">
        <v>99</v>
      </c>
      <c r="AD165" s="29" t="s">
        <v>101</v>
      </c>
      <c r="AE165" s="29" t="s">
        <v>101</v>
      </c>
      <c r="AF165" s="29" t="s">
        <v>139</v>
      </c>
      <c r="AG165" s="29" t="s">
        <v>101</v>
      </c>
      <c r="AH165" s="29" t="s">
        <v>139</v>
      </c>
      <c r="AI165" s="29" t="s">
        <v>139</v>
      </c>
      <c r="AJ165" s="29" t="s">
        <v>99</v>
      </c>
      <c r="AK165" s="7"/>
      <c r="AL165" s="29" t="s">
        <v>101</v>
      </c>
      <c r="AM165" s="29" t="s">
        <v>101</v>
      </c>
      <c r="AN165" s="29" t="s">
        <v>101</v>
      </c>
      <c r="AO165" s="29"/>
      <c r="AP165" s="29"/>
    </row>
    <row r="166" spans="1:42" ht="15.75">
      <c r="A166" s="71" t="s">
        <v>140</v>
      </c>
      <c r="C166" s="34">
        <f>2/3</f>
        <v>0.66666666666666663</v>
      </c>
      <c r="D166" s="107">
        <f>5/6</f>
        <v>0.83333333333333337</v>
      </c>
      <c r="E166" s="107"/>
      <c r="F166" s="107">
        <f>2/3</f>
        <v>0.66666666666666663</v>
      </c>
      <c r="G166" s="107">
        <f>2/3</f>
        <v>0.66666666666666663</v>
      </c>
      <c r="H166" s="107"/>
      <c r="I166" s="107">
        <f>2/3</f>
        <v>0.66666666666666663</v>
      </c>
      <c r="J166" s="107">
        <f>2/3</f>
        <v>0.66666666666666663</v>
      </c>
      <c r="K166" s="88"/>
      <c r="L166" s="107">
        <f>2/3</f>
        <v>0.66666666666666663</v>
      </c>
      <c r="M166" s="88">
        <f>2/3</f>
        <v>0.66666666666666663</v>
      </c>
      <c r="N166" s="88">
        <f>2/3</f>
        <v>0.66666666666666663</v>
      </c>
      <c r="O166" s="34">
        <f>2/3</f>
        <v>0.66666666666666663</v>
      </c>
      <c r="P166" s="107"/>
      <c r="Q166" s="107">
        <f>2/3</f>
        <v>0.66666666666666663</v>
      </c>
      <c r="R166" s="107">
        <f>2/3</f>
        <v>0.66666666666666663</v>
      </c>
      <c r="S166" s="107">
        <f>2/3</f>
        <v>0.66666666666666663</v>
      </c>
      <c r="T166" s="88"/>
      <c r="U166" s="88"/>
      <c r="V166" s="88"/>
      <c r="W166" s="51"/>
      <c r="X166" s="87">
        <f>2/3</f>
        <v>0.66666666666666663</v>
      </c>
      <c r="Y166" s="88">
        <f>5/6</f>
        <v>0.83333333333333337</v>
      </c>
      <c r="Z166" s="88"/>
      <c r="AA166" s="88">
        <f>2/3</f>
        <v>0.66666666666666663</v>
      </c>
      <c r="AB166" s="88">
        <f>2/3</f>
        <v>0.66666666666666663</v>
      </c>
      <c r="AC166" s="88"/>
      <c r="AD166" s="88">
        <f>2/3</f>
        <v>0.66666666666666663</v>
      </c>
      <c r="AE166" s="88">
        <f>2/3</f>
        <v>0.66666666666666663</v>
      </c>
      <c r="AF166" s="88">
        <f>3/4</f>
        <v>0.75</v>
      </c>
      <c r="AG166" s="88">
        <f>2/3</f>
        <v>0.66666666666666663</v>
      </c>
      <c r="AH166" s="88">
        <f>2/3</f>
        <v>0.66666666666666663</v>
      </c>
      <c r="AI166" s="88">
        <f>2/3</f>
        <v>0.66666666666666663</v>
      </c>
      <c r="AJ166" s="88">
        <f>2/3</f>
        <v>0.66666666666666663</v>
      </c>
      <c r="AK166" s="107"/>
      <c r="AL166" s="88">
        <f>2/3</f>
        <v>0.66666666666666663</v>
      </c>
      <c r="AM166" s="88">
        <f>2/3</f>
        <v>0.66666666666666663</v>
      </c>
      <c r="AN166" s="88">
        <f>2/3</f>
        <v>0.66666666666666663</v>
      </c>
      <c r="AO166" s="88"/>
      <c r="AP166" s="88"/>
    </row>
    <row r="167" spans="1:42" ht="15.75">
      <c r="A167" s="71" t="s">
        <v>146</v>
      </c>
      <c r="C167" s="7">
        <v>16200</v>
      </c>
      <c r="D167" s="7">
        <v>16200</v>
      </c>
      <c r="E167" s="7"/>
      <c r="F167" s="7">
        <v>16200</v>
      </c>
      <c r="G167" s="7">
        <v>16200</v>
      </c>
      <c r="H167" s="7"/>
      <c r="I167" s="7">
        <v>16200</v>
      </c>
      <c r="J167" s="7">
        <v>16200</v>
      </c>
      <c r="K167" s="29"/>
      <c r="L167" s="7">
        <v>16200</v>
      </c>
      <c r="M167" s="29">
        <v>16200</v>
      </c>
      <c r="N167" s="29">
        <v>16200</v>
      </c>
      <c r="O167" s="7">
        <v>16200</v>
      </c>
      <c r="P167" s="7"/>
      <c r="Q167" s="7">
        <v>16200</v>
      </c>
      <c r="R167" s="7">
        <v>16200</v>
      </c>
      <c r="S167" s="7">
        <v>16200</v>
      </c>
      <c r="W167" s="51"/>
      <c r="X167" s="29">
        <v>16200</v>
      </c>
      <c r="Y167" s="29">
        <v>16200</v>
      </c>
      <c r="AA167" s="29">
        <v>16200</v>
      </c>
      <c r="AB167" s="29">
        <v>16200</v>
      </c>
      <c r="AD167" s="29">
        <v>16200</v>
      </c>
      <c r="AE167" s="29">
        <v>16200</v>
      </c>
      <c r="AF167" s="29">
        <v>64800</v>
      </c>
      <c r="AG167" s="29">
        <v>16200</v>
      </c>
      <c r="AH167" s="29">
        <v>16200</v>
      </c>
      <c r="AI167" s="29">
        <v>16200</v>
      </c>
      <c r="AJ167" s="29">
        <v>16200</v>
      </c>
      <c r="AK167" s="7"/>
      <c r="AL167" s="29">
        <v>16200</v>
      </c>
      <c r="AM167" s="29">
        <v>16200</v>
      </c>
      <c r="AN167" s="29">
        <v>16200</v>
      </c>
      <c r="AO167" s="29"/>
      <c r="AP167" s="29"/>
    </row>
    <row r="168" spans="1:42" ht="15.75">
      <c r="A168" s="71" t="s">
        <v>147</v>
      </c>
      <c r="C168" s="7" t="s">
        <v>88</v>
      </c>
      <c r="D168" s="7" t="s">
        <v>88</v>
      </c>
      <c r="E168" s="7"/>
      <c r="F168" s="7" t="s">
        <v>88</v>
      </c>
      <c r="G168" s="7" t="s">
        <v>88</v>
      </c>
      <c r="H168" s="7"/>
      <c r="I168" s="7" t="s">
        <v>88</v>
      </c>
      <c r="J168" s="7" t="s">
        <v>88</v>
      </c>
      <c r="K168" s="29"/>
      <c r="L168" s="7" t="s">
        <v>88</v>
      </c>
      <c r="M168" s="29" t="s">
        <v>88</v>
      </c>
      <c r="N168" s="29" t="s">
        <v>88</v>
      </c>
      <c r="O168" s="7" t="s">
        <v>88</v>
      </c>
      <c r="P168" s="7"/>
      <c r="Q168" s="7" t="s">
        <v>88</v>
      </c>
      <c r="R168" s="7" t="s">
        <v>88</v>
      </c>
      <c r="S168" s="7" t="s">
        <v>88</v>
      </c>
      <c r="W168" s="51"/>
      <c r="X168" s="29" t="s">
        <v>88</v>
      </c>
      <c r="Y168" s="29" t="s">
        <v>88</v>
      </c>
      <c r="AA168" s="29" t="s">
        <v>88</v>
      </c>
      <c r="AB168" s="29" t="s">
        <v>88</v>
      </c>
      <c r="AD168" s="29" t="s">
        <v>88</v>
      </c>
      <c r="AE168" s="29" t="s">
        <v>88</v>
      </c>
      <c r="AF168" s="29" t="s">
        <v>88</v>
      </c>
      <c r="AG168" s="29" t="s">
        <v>88</v>
      </c>
      <c r="AH168" s="29" t="s">
        <v>88</v>
      </c>
      <c r="AI168" s="29" t="s">
        <v>88</v>
      </c>
      <c r="AJ168" s="29" t="s">
        <v>88</v>
      </c>
      <c r="AK168" s="7"/>
      <c r="AL168" s="29" t="s">
        <v>88</v>
      </c>
      <c r="AM168" s="29" t="s">
        <v>88</v>
      </c>
      <c r="AN168" s="29" t="s">
        <v>88</v>
      </c>
      <c r="AO168" s="29"/>
      <c r="AP168" s="29"/>
    </row>
    <row r="169" spans="1:42" ht="15.75">
      <c r="A169" s="71" t="s">
        <v>148</v>
      </c>
      <c r="B169" s="53"/>
      <c r="C169" s="7">
        <v>35</v>
      </c>
      <c r="D169" s="7">
        <v>23</v>
      </c>
      <c r="E169" s="7"/>
      <c r="F169" s="7">
        <v>12</v>
      </c>
      <c r="G169" s="7">
        <v>35</v>
      </c>
      <c r="H169" s="7"/>
      <c r="I169" s="7">
        <v>12</v>
      </c>
      <c r="J169" s="7">
        <v>12</v>
      </c>
      <c r="K169" s="29"/>
      <c r="L169" s="7">
        <v>12</v>
      </c>
      <c r="M169" s="29" t="s">
        <v>301</v>
      </c>
      <c r="N169" s="29" t="s">
        <v>301</v>
      </c>
      <c r="O169" s="7">
        <v>35</v>
      </c>
      <c r="P169" s="7"/>
      <c r="Q169" s="7">
        <v>4</v>
      </c>
      <c r="R169" s="7">
        <v>12</v>
      </c>
      <c r="S169" s="7">
        <v>4</v>
      </c>
      <c r="W169" s="53"/>
      <c r="X169" s="29">
        <v>35</v>
      </c>
      <c r="Y169" s="29">
        <v>23</v>
      </c>
      <c r="AA169" s="29">
        <v>12</v>
      </c>
      <c r="AB169" s="29">
        <v>35</v>
      </c>
      <c r="AD169" s="29">
        <v>12</v>
      </c>
      <c r="AE169" s="29">
        <v>12</v>
      </c>
      <c r="AF169" s="29" t="s">
        <v>301</v>
      </c>
      <c r="AG169" s="29">
        <v>12</v>
      </c>
      <c r="AH169" s="29" t="s">
        <v>301</v>
      </c>
      <c r="AI169" s="29" t="s">
        <v>301</v>
      </c>
      <c r="AJ169" s="29">
        <v>35</v>
      </c>
      <c r="AK169" s="7"/>
      <c r="AL169" s="29">
        <v>3</v>
      </c>
      <c r="AM169" s="29">
        <v>12</v>
      </c>
      <c r="AN169" s="29">
        <v>3</v>
      </c>
      <c r="AO169" s="29"/>
      <c r="AP169" s="29"/>
    </row>
    <row r="170" spans="1:42" ht="15.75">
      <c r="A170" s="71" t="s">
        <v>150</v>
      </c>
      <c r="C170" s="7">
        <v>35</v>
      </c>
      <c r="D170" s="7">
        <v>23</v>
      </c>
      <c r="E170" s="7"/>
      <c r="F170" s="7">
        <v>12</v>
      </c>
      <c r="G170" s="7">
        <v>35</v>
      </c>
      <c r="H170" s="7"/>
      <c r="I170" s="7">
        <v>12</v>
      </c>
      <c r="J170" s="7">
        <v>12</v>
      </c>
      <c r="K170" s="29"/>
      <c r="L170" s="7">
        <v>12</v>
      </c>
      <c r="M170" s="29">
        <v>1</v>
      </c>
      <c r="N170" s="29">
        <v>1</v>
      </c>
      <c r="O170" s="7">
        <v>35</v>
      </c>
      <c r="P170" s="7"/>
      <c r="Q170" s="7">
        <v>4</v>
      </c>
      <c r="R170" s="7">
        <v>12</v>
      </c>
      <c r="S170" s="7">
        <v>4</v>
      </c>
      <c r="W170" s="51"/>
      <c r="X170" s="29">
        <v>35</v>
      </c>
      <c r="Y170" s="29">
        <v>23</v>
      </c>
      <c r="AA170" s="29">
        <v>12</v>
      </c>
      <c r="AB170" s="29">
        <v>35</v>
      </c>
      <c r="AD170" s="29">
        <v>12</v>
      </c>
      <c r="AE170" s="29">
        <v>12</v>
      </c>
      <c r="AF170" s="29">
        <v>13</v>
      </c>
      <c r="AG170" s="29">
        <v>12</v>
      </c>
      <c r="AH170" s="29">
        <v>1</v>
      </c>
      <c r="AI170" s="29">
        <v>1</v>
      </c>
      <c r="AJ170" s="29">
        <v>35</v>
      </c>
      <c r="AK170" s="7"/>
      <c r="AL170" s="29">
        <v>3</v>
      </c>
      <c r="AM170" s="29">
        <v>12</v>
      </c>
      <c r="AN170" s="29">
        <v>3</v>
      </c>
      <c r="AO170" s="29"/>
      <c r="AP170" s="29"/>
    </row>
    <row r="171" spans="1:42" ht="15.75">
      <c r="A171" s="71" t="s">
        <v>152</v>
      </c>
      <c r="B171" s="53"/>
      <c r="C171" s="7">
        <v>1</v>
      </c>
      <c r="D171" s="7">
        <v>1</v>
      </c>
      <c r="E171" s="7"/>
      <c r="F171" s="7">
        <v>1</v>
      </c>
      <c r="G171" s="7">
        <v>1</v>
      </c>
      <c r="H171" s="7"/>
      <c r="I171" s="7">
        <v>1</v>
      </c>
      <c r="J171" s="7">
        <v>1</v>
      </c>
      <c r="K171" s="29"/>
      <c r="L171" s="7">
        <v>1</v>
      </c>
      <c r="M171" s="29">
        <v>1</v>
      </c>
      <c r="N171" s="29">
        <v>1</v>
      </c>
      <c r="O171" s="7">
        <v>1</v>
      </c>
      <c r="P171" s="7"/>
      <c r="Q171" s="7">
        <v>1</v>
      </c>
      <c r="R171" s="7">
        <v>1</v>
      </c>
      <c r="S171" s="7">
        <v>1</v>
      </c>
      <c r="W171" s="53"/>
      <c r="X171" s="29">
        <v>1</v>
      </c>
      <c r="Y171" s="29">
        <v>1</v>
      </c>
      <c r="AA171" s="29">
        <v>1</v>
      </c>
      <c r="AB171" s="29">
        <v>1</v>
      </c>
      <c r="AD171" s="29">
        <v>1</v>
      </c>
      <c r="AE171" s="29">
        <v>1</v>
      </c>
      <c r="AF171" s="29">
        <v>1</v>
      </c>
      <c r="AG171" s="29">
        <v>1</v>
      </c>
      <c r="AH171" s="29">
        <v>1</v>
      </c>
      <c r="AI171" s="29">
        <v>1</v>
      </c>
      <c r="AJ171" s="29">
        <v>1</v>
      </c>
      <c r="AK171" s="7"/>
      <c r="AL171" s="29">
        <v>1</v>
      </c>
      <c r="AM171" s="29">
        <v>1</v>
      </c>
      <c r="AN171" s="29">
        <v>1</v>
      </c>
      <c r="AO171" s="29"/>
      <c r="AP171" s="29"/>
    </row>
    <row r="172" spans="1:42" ht="15.75">
      <c r="A172" s="71" t="s">
        <v>154</v>
      </c>
      <c r="B172" s="53"/>
      <c r="C172" s="7">
        <v>1</v>
      </c>
      <c r="D172" s="7">
        <v>1</v>
      </c>
      <c r="E172" s="7"/>
      <c r="F172" s="7">
        <v>1</v>
      </c>
      <c r="G172" s="7">
        <v>2</v>
      </c>
      <c r="H172" s="7"/>
      <c r="I172" s="7">
        <v>1</v>
      </c>
      <c r="J172" s="7">
        <v>1</v>
      </c>
      <c r="K172" s="29"/>
      <c r="L172" s="7">
        <v>1</v>
      </c>
      <c r="M172" s="29">
        <v>1</v>
      </c>
      <c r="N172" s="29">
        <v>1</v>
      </c>
      <c r="O172" s="7">
        <v>1</v>
      </c>
      <c r="P172" s="7"/>
      <c r="Q172" s="7">
        <v>1</v>
      </c>
      <c r="R172" s="7">
        <v>1</v>
      </c>
      <c r="S172" s="7">
        <v>1</v>
      </c>
      <c r="W172" s="53"/>
      <c r="X172" s="29">
        <v>1</v>
      </c>
      <c r="Y172" s="29">
        <v>1</v>
      </c>
      <c r="AA172" s="29">
        <v>1</v>
      </c>
      <c r="AB172" s="29">
        <v>2</v>
      </c>
      <c r="AD172" s="29">
        <v>1</v>
      </c>
      <c r="AE172" s="29">
        <v>1</v>
      </c>
      <c r="AF172" s="29">
        <v>1</v>
      </c>
      <c r="AG172" s="29">
        <v>1</v>
      </c>
      <c r="AH172" s="29">
        <v>1</v>
      </c>
      <c r="AI172" s="29">
        <v>1</v>
      </c>
      <c r="AJ172" s="29">
        <v>1</v>
      </c>
      <c r="AK172" s="7"/>
      <c r="AL172" s="29">
        <v>1</v>
      </c>
      <c r="AM172" s="29">
        <v>1</v>
      </c>
      <c r="AN172" s="29">
        <v>1</v>
      </c>
      <c r="AO172" s="29"/>
      <c r="AP172" s="29"/>
    </row>
    <row r="173" spans="1:42" ht="15.75">
      <c r="A173" s="71" t="s">
        <v>155</v>
      </c>
      <c r="C173" s="7">
        <v>1</v>
      </c>
      <c r="D173" s="7">
        <v>1</v>
      </c>
      <c r="E173" s="7"/>
      <c r="F173" s="7">
        <v>4</v>
      </c>
      <c r="G173" s="7">
        <v>1</v>
      </c>
      <c r="H173" s="7"/>
      <c r="I173" s="7">
        <v>4</v>
      </c>
      <c r="J173" s="7">
        <v>4</v>
      </c>
      <c r="K173" s="29"/>
      <c r="L173" s="7">
        <v>4</v>
      </c>
      <c r="M173" s="29">
        <v>1</v>
      </c>
      <c r="N173" s="29">
        <v>1</v>
      </c>
      <c r="O173" s="7">
        <v>1</v>
      </c>
      <c r="P173" s="7"/>
      <c r="Q173" s="7">
        <v>1</v>
      </c>
      <c r="R173" s="7">
        <v>4</v>
      </c>
      <c r="S173" s="7">
        <v>1</v>
      </c>
      <c r="W173" s="51"/>
      <c r="X173" s="29">
        <v>1</v>
      </c>
      <c r="Y173" s="29">
        <v>1</v>
      </c>
      <c r="AA173" s="29">
        <v>4</v>
      </c>
      <c r="AB173" s="29">
        <v>1</v>
      </c>
      <c r="AD173" s="29">
        <v>4</v>
      </c>
      <c r="AE173" s="29">
        <v>4</v>
      </c>
      <c r="AF173" s="29">
        <v>1</v>
      </c>
      <c r="AG173" s="29">
        <v>4</v>
      </c>
      <c r="AH173" s="29">
        <v>1</v>
      </c>
      <c r="AI173" s="29">
        <v>1</v>
      </c>
      <c r="AJ173" s="29">
        <v>1</v>
      </c>
      <c r="AK173" s="7"/>
      <c r="AL173" s="29">
        <v>1</v>
      </c>
      <c r="AM173" s="29">
        <v>4</v>
      </c>
      <c r="AN173" s="29">
        <v>1</v>
      </c>
      <c r="AO173" s="29"/>
      <c r="AP173" s="29"/>
    </row>
    <row r="174" spans="1:42" ht="15.75">
      <c r="A174" s="71" t="s">
        <v>302</v>
      </c>
      <c r="B174" s="71"/>
      <c r="C174" s="7">
        <v>0</v>
      </c>
      <c r="D174" s="7">
        <v>0</v>
      </c>
      <c r="E174" s="7"/>
      <c r="F174" s="7">
        <v>0</v>
      </c>
      <c r="G174" s="7">
        <v>0</v>
      </c>
      <c r="H174" s="7"/>
      <c r="I174" s="7">
        <v>0</v>
      </c>
      <c r="J174" s="7">
        <v>0</v>
      </c>
      <c r="K174" s="29"/>
      <c r="L174" s="7">
        <v>0</v>
      </c>
      <c r="M174" s="29">
        <v>0</v>
      </c>
      <c r="N174" s="29">
        <v>0</v>
      </c>
      <c r="O174" s="7">
        <v>0</v>
      </c>
      <c r="P174" s="7"/>
      <c r="Q174" s="7">
        <v>0</v>
      </c>
      <c r="R174" s="7">
        <v>0</v>
      </c>
      <c r="S174" s="7">
        <v>0</v>
      </c>
      <c r="W174" s="71"/>
      <c r="X174" s="29">
        <v>0</v>
      </c>
      <c r="Y174" s="29">
        <v>0</v>
      </c>
      <c r="AA174" s="29">
        <v>0</v>
      </c>
      <c r="AB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7"/>
      <c r="AL174" s="29">
        <v>0</v>
      </c>
      <c r="AM174" s="29">
        <v>0</v>
      </c>
      <c r="AN174" s="29">
        <v>0</v>
      </c>
      <c r="AO174" s="29"/>
      <c r="AP174" s="29"/>
    </row>
    <row r="175" spans="1:42" ht="15.75">
      <c r="A175" s="89" t="s">
        <v>158</v>
      </c>
      <c r="B175" s="68"/>
      <c r="C175" s="96"/>
      <c r="D175" s="96"/>
      <c r="E175" s="96"/>
      <c r="F175" s="96"/>
      <c r="G175" s="96"/>
      <c r="H175" s="96"/>
      <c r="I175" s="96"/>
      <c r="J175" s="96"/>
      <c r="K175" s="70"/>
      <c r="L175" s="96"/>
      <c r="M175" s="70"/>
      <c r="N175" s="96"/>
      <c r="O175" s="96"/>
      <c r="P175" s="96"/>
      <c r="Q175" s="96"/>
      <c r="R175" s="96"/>
      <c r="S175" s="96"/>
      <c r="T175" s="70"/>
      <c r="U175" s="70"/>
      <c r="V175" s="70"/>
      <c r="W175" s="68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96"/>
      <c r="AL175" s="70"/>
      <c r="AM175" s="70"/>
      <c r="AN175" s="70"/>
      <c r="AO175" s="70"/>
      <c r="AP175" s="70"/>
    </row>
    <row r="176" spans="1:42" ht="15.75">
      <c r="A176" s="71" t="s">
        <v>159</v>
      </c>
      <c r="C176" s="7" t="s">
        <v>160</v>
      </c>
      <c r="D176" s="7" t="s">
        <v>160</v>
      </c>
      <c r="E176" s="7"/>
      <c r="F176" s="7" t="s">
        <v>160</v>
      </c>
      <c r="G176" s="7" t="s">
        <v>160</v>
      </c>
      <c r="H176" s="7"/>
      <c r="I176" s="7" t="s">
        <v>160</v>
      </c>
      <c r="J176" s="7" t="s">
        <v>160</v>
      </c>
      <c r="K176" s="29"/>
      <c r="L176" s="7" t="s">
        <v>160</v>
      </c>
      <c r="M176" s="29" t="s">
        <v>162</v>
      </c>
      <c r="N176" s="29" t="s">
        <v>162</v>
      </c>
      <c r="O176" s="7" t="s">
        <v>160</v>
      </c>
      <c r="P176" s="7"/>
      <c r="Q176" s="7" t="s">
        <v>160</v>
      </c>
      <c r="R176" s="7" t="s">
        <v>160</v>
      </c>
      <c r="S176" s="7" t="s">
        <v>160</v>
      </c>
      <c r="W176" s="51"/>
      <c r="X176" s="29" t="s">
        <v>160</v>
      </c>
      <c r="Y176" s="29" t="s">
        <v>160</v>
      </c>
      <c r="AA176" s="29" t="s">
        <v>160</v>
      </c>
      <c r="AB176" s="29" t="s">
        <v>160</v>
      </c>
      <c r="AD176" s="29" t="s">
        <v>160</v>
      </c>
      <c r="AE176" s="29" t="s">
        <v>160</v>
      </c>
      <c r="AF176" s="29" t="s">
        <v>160</v>
      </c>
      <c r="AG176" s="29" t="s">
        <v>160</v>
      </c>
      <c r="AH176" s="29" t="s">
        <v>162</v>
      </c>
      <c r="AI176" s="29" t="s">
        <v>162</v>
      </c>
      <c r="AJ176" s="29" t="s">
        <v>160</v>
      </c>
      <c r="AK176" s="7"/>
      <c r="AL176" s="29" t="s">
        <v>160</v>
      </c>
      <c r="AM176" s="29" t="s">
        <v>160</v>
      </c>
      <c r="AN176" s="29" t="s">
        <v>160</v>
      </c>
      <c r="AO176" s="29"/>
      <c r="AP176" s="29"/>
    </row>
    <row r="177" spans="1:42" ht="15.75">
      <c r="A177" s="71" t="s">
        <v>163</v>
      </c>
      <c r="C177" s="7" t="s">
        <v>88</v>
      </c>
      <c r="D177" s="7" t="s">
        <v>88</v>
      </c>
      <c r="E177" s="7"/>
      <c r="F177" s="7" t="s">
        <v>88</v>
      </c>
      <c r="G177" s="7" t="s">
        <v>88</v>
      </c>
      <c r="H177" s="7"/>
      <c r="I177" s="7" t="s">
        <v>88</v>
      </c>
      <c r="J177" s="7" t="s">
        <v>88</v>
      </c>
      <c r="K177" s="29"/>
      <c r="L177" s="7" t="s">
        <v>88</v>
      </c>
      <c r="M177" s="29" t="s">
        <v>88</v>
      </c>
      <c r="N177" s="29" t="s">
        <v>88</v>
      </c>
      <c r="O177" s="7" t="s">
        <v>88</v>
      </c>
      <c r="P177" s="7"/>
      <c r="Q177" s="7" t="s">
        <v>88</v>
      </c>
      <c r="R177" s="7" t="s">
        <v>88</v>
      </c>
      <c r="S177" s="7" t="s">
        <v>88</v>
      </c>
      <c r="W177" s="51"/>
      <c r="X177" s="29" t="s">
        <v>88</v>
      </c>
      <c r="Y177" s="29" t="s">
        <v>88</v>
      </c>
      <c r="AA177" s="29" t="s">
        <v>88</v>
      </c>
      <c r="AB177" s="29" t="s">
        <v>88</v>
      </c>
      <c r="AD177" s="29" t="s">
        <v>88</v>
      </c>
      <c r="AE177" s="29" t="s">
        <v>88</v>
      </c>
      <c r="AF177" s="29" t="s">
        <v>88</v>
      </c>
      <c r="AG177" s="29" t="s">
        <v>88</v>
      </c>
      <c r="AH177" s="29" t="s">
        <v>88</v>
      </c>
      <c r="AI177" s="29" t="s">
        <v>88</v>
      </c>
      <c r="AJ177" s="29" t="s">
        <v>88</v>
      </c>
      <c r="AK177" s="7"/>
      <c r="AL177" s="29" t="s">
        <v>88</v>
      </c>
      <c r="AM177" s="29" t="s">
        <v>88</v>
      </c>
      <c r="AN177" s="29" t="s">
        <v>88</v>
      </c>
      <c r="AO177" s="29"/>
      <c r="AP177" s="29"/>
    </row>
    <row r="178" spans="1:42" ht="15.75">
      <c r="A178" s="71" t="s">
        <v>165</v>
      </c>
      <c r="B178" s="71"/>
      <c r="C178" s="7">
        <f>472*1024</f>
        <v>483328</v>
      </c>
      <c r="D178" s="7">
        <f>416*1024</f>
        <v>425984</v>
      </c>
      <c r="E178" s="7"/>
      <c r="F178" s="7">
        <f>128*8192</f>
        <v>1048576</v>
      </c>
      <c r="G178" s="7">
        <f>472*1024</f>
        <v>483328</v>
      </c>
      <c r="H178" s="7"/>
      <c r="I178" s="7">
        <v>1048576</v>
      </c>
      <c r="J178" s="7">
        <v>1048576</v>
      </c>
      <c r="K178" s="29"/>
      <c r="L178" s="7">
        <v>1048576</v>
      </c>
      <c r="M178" s="29">
        <f>M153</f>
        <v>1048576</v>
      </c>
      <c r="N178" s="29">
        <f>1024*1024</f>
        <v>1048576</v>
      </c>
      <c r="O178" s="7">
        <f>472*1024</f>
        <v>483328</v>
      </c>
      <c r="P178" s="7"/>
      <c r="Q178" s="7">
        <f>1048576</f>
        <v>1048576</v>
      </c>
      <c r="R178" s="7">
        <f>1048576</f>
        <v>1048576</v>
      </c>
      <c r="S178" s="7">
        <v>1048576</v>
      </c>
      <c r="W178" s="71"/>
      <c r="X178" s="29">
        <f>416*1024</f>
        <v>425984</v>
      </c>
      <c r="Y178" s="29">
        <f>416*1024</f>
        <v>425984</v>
      </c>
      <c r="AA178" s="29">
        <f>1024*1024</f>
        <v>1048576</v>
      </c>
      <c r="AB178" s="29">
        <f>416*1024</f>
        <v>425984</v>
      </c>
      <c r="AD178" s="29">
        <f t="shared" ref="AD178:AI178" si="18">1024*1024</f>
        <v>1048576</v>
      </c>
      <c r="AE178" s="29">
        <f t="shared" si="18"/>
        <v>1048576</v>
      </c>
      <c r="AF178" s="29">
        <f t="shared" si="18"/>
        <v>1048576</v>
      </c>
      <c r="AG178" s="29">
        <f t="shared" si="18"/>
        <v>1048576</v>
      </c>
      <c r="AH178" s="29">
        <f t="shared" si="18"/>
        <v>1048576</v>
      </c>
      <c r="AI178" s="29">
        <f t="shared" si="18"/>
        <v>1048576</v>
      </c>
      <c r="AJ178" s="29">
        <f>416*1024</f>
        <v>425984</v>
      </c>
      <c r="AK178" s="7"/>
      <c r="AL178" s="29">
        <f>1024*1024</f>
        <v>1048576</v>
      </c>
      <c r="AM178" s="29">
        <f>1024*1024</f>
        <v>1048576</v>
      </c>
      <c r="AN178" s="29">
        <f>1024*1024</f>
        <v>1048576</v>
      </c>
      <c r="AO178" s="29"/>
      <c r="AP178" s="29"/>
    </row>
    <row r="179" spans="1:42" ht="15.75">
      <c r="A179" s="71"/>
      <c r="B179" s="71"/>
      <c r="C179" s="108"/>
      <c r="D179" s="108"/>
      <c r="E179" s="108"/>
      <c r="F179" s="108"/>
      <c r="G179" s="108"/>
      <c r="H179" s="108"/>
      <c r="I179" s="108"/>
      <c r="J179" s="108"/>
      <c r="K179" s="29"/>
      <c r="L179" s="108"/>
      <c r="M179" s="29"/>
      <c r="N179" s="29"/>
      <c r="O179" s="108"/>
      <c r="P179" s="108"/>
      <c r="Q179" s="108"/>
      <c r="R179" s="108"/>
      <c r="S179" s="108"/>
      <c r="W179" s="71"/>
      <c r="AE179" s="29"/>
      <c r="AF179" s="29"/>
      <c r="AG179" s="29"/>
      <c r="AI179" s="29"/>
      <c r="AK179" s="108"/>
      <c r="AL179" s="29"/>
      <c r="AM179" s="29"/>
      <c r="AN179" s="29"/>
      <c r="AO179" s="29"/>
      <c r="AP179" s="29"/>
    </row>
    <row r="180" spans="1:42" ht="15.75">
      <c r="A180" s="71" t="s">
        <v>166</v>
      </c>
      <c r="B180" s="71"/>
      <c r="C180" s="7">
        <v>938675</v>
      </c>
      <c r="D180" s="7">
        <v>937468</v>
      </c>
      <c r="E180" s="7"/>
      <c r="F180" s="7">
        <v>3789343</v>
      </c>
      <c r="G180" s="7">
        <v>1865388</v>
      </c>
      <c r="H180" s="7"/>
      <c r="I180" s="7">
        <f xml:space="preserve"> 4*931328+46605</f>
        <v>3771917</v>
      </c>
      <c r="J180" s="7">
        <f xml:space="preserve"> 4*931328+47928</f>
        <v>3773240</v>
      </c>
      <c r="K180" s="7"/>
      <c r="L180" s="7">
        <f xml:space="preserve"> 4*931328+47280</f>
        <v>3772592</v>
      </c>
      <c r="M180" s="29">
        <f>M155</f>
        <v>957332</v>
      </c>
      <c r="N180" s="7">
        <f xml:space="preserve"> 931328+68633</f>
        <v>999961</v>
      </c>
      <c r="O180" s="7">
        <f>O155</f>
        <v>939294</v>
      </c>
      <c r="P180" s="7"/>
      <c r="Q180" s="7">
        <f xml:space="preserve"> 931328+46527</f>
        <v>977855</v>
      </c>
      <c r="R180" s="7">
        <f xml:space="preserve"> 4*931328+46527</f>
        <v>3771839</v>
      </c>
      <c r="S180" s="7">
        <f xml:space="preserve"> 931328+46605</f>
        <v>977933</v>
      </c>
      <c r="W180" s="71"/>
      <c r="X180" s="29">
        <f>X155</f>
        <v>939080</v>
      </c>
      <c r="Y180" s="29">
        <f>Y155</f>
        <v>937766</v>
      </c>
      <c r="AA180" s="29">
        <f>4*931328+216667+48155</f>
        <v>3990134</v>
      </c>
      <c r="AB180" s="29">
        <f>2*926720+12338</f>
        <v>1865778</v>
      </c>
      <c r="AD180" s="29">
        <f>4*931328+216667+48155</f>
        <v>3990134</v>
      </c>
      <c r="AE180" s="29">
        <f>4*931328+216667+50804</f>
        <v>3992783</v>
      </c>
      <c r="AF180" s="29">
        <f>AF155</f>
        <v>955416</v>
      </c>
      <c r="AG180" s="29">
        <f>4*931328+216667+47280</f>
        <v>3989259</v>
      </c>
      <c r="AH180" s="29">
        <f>931328+0+27088</f>
        <v>958416</v>
      </c>
      <c r="AI180" s="29">
        <f>931328+0+68633</f>
        <v>999961</v>
      </c>
      <c r="AJ180" s="29">
        <f>AJ155</f>
        <v>939294</v>
      </c>
      <c r="AK180" s="7"/>
      <c r="AL180" s="29">
        <f>931328+46527</f>
        <v>977855</v>
      </c>
      <c r="AM180" s="29">
        <f>4*931328+46527</f>
        <v>3771839</v>
      </c>
      <c r="AN180" s="29">
        <f>931328+46605</f>
        <v>977933</v>
      </c>
      <c r="AO180" s="29"/>
      <c r="AP180" s="29"/>
    </row>
    <row r="181" spans="1:42" ht="15.75">
      <c r="A181" s="91" t="s">
        <v>83</v>
      </c>
      <c r="C181" s="28" t="s">
        <v>88</v>
      </c>
      <c r="D181" s="7" t="s">
        <v>88</v>
      </c>
      <c r="E181" s="7"/>
      <c r="F181" s="7" t="s">
        <v>88</v>
      </c>
      <c r="G181" s="7" t="s">
        <v>88</v>
      </c>
      <c r="H181" s="7"/>
      <c r="I181" s="7" t="s">
        <v>88</v>
      </c>
      <c r="J181" s="7" t="s">
        <v>88</v>
      </c>
      <c r="K181" s="29"/>
      <c r="L181" s="7" t="s">
        <v>88</v>
      </c>
      <c r="M181" s="29" t="s">
        <v>88</v>
      </c>
      <c r="N181" s="29" t="s">
        <v>88</v>
      </c>
      <c r="O181" s="28" t="s">
        <v>88</v>
      </c>
      <c r="P181" s="7"/>
      <c r="Q181" s="7" t="s">
        <v>88</v>
      </c>
      <c r="R181" s="7" t="s">
        <v>88</v>
      </c>
      <c r="S181" s="7" t="s">
        <v>88</v>
      </c>
      <c r="W181" s="51"/>
      <c r="X181" s="85" t="s">
        <v>88</v>
      </c>
      <c r="Y181" s="29" t="s">
        <v>88</v>
      </c>
      <c r="AA181" s="29" t="s">
        <v>88</v>
      </c>
      <c r="AB181" s="29" t="s">
        <v>88</v>
      </c>
      <c r="AD181" s="29" t="s">
        <v>88</v>
      </c>
      <c r="AE181" s="29" t="s">
        <v>88</v>
      </c>
      <c r="AF181" s="29" t="s">
        <v>88</v>
      </c>
      <c r="AG181" s="29" t="s">
        <v>88</v>
      </c>
      <c r="AH181" s="29" t="s">
        <v>88</v>
      </c>
      <c r="AI181" s="29" t="s">
        <v>88</v>
      </c>
      <c r="AJ181" s="29" t="s">
        <v>88</v>
      </c>
      <c r="AK181" s="7"/>
      <c r="AL181" s="29" t="s">
        <v>88</v>
      </c>
      <c r="AM181" s="29" t="s">
        <v>88</v>
      </c>
      <c r="AN181" s="29" t="s">
        <v>88</v>
      </c>
      <c r="AO181" s="29"/>
      <c r="AP181" s="29"/>
    </row>
    <row r="182" spans="1:42" ht="15.75">
      <c r="A182" s="91" t="s">
        <v>168</v>
      </c>
      <c r="C182" s="92" t="s">
        <v>303</v>
      </c>
      <c r="D182" s="92" t="s">
        <v>303</v>
      </c>
      <c r="E182" s="92"/>
      <c r="F182" s="92" t="s">
        <v>89</v>
      </c>
      <c r="G182" s="92" t="s">
        <v>89</v>
      </c>
      <c r="H182" s="92"/>
      <c r="I182" s="92" t="s">
        <v>89</v>
      </c>
      <c r="J182" s="92" t="s">
        <v>89</v>
      </c>
      <c r="K182" s="92"/>
      <c r="L182" s="92" t="s">
        <v>89</v>
      </c>
      <c r="M182" s="92" t="s">
        <v>303</v>
      </c>
      <c r="N182" s="92" t="s">
        <v>303</v>
      </c>
      <c r="O182" s="92" t="s">
        <v>304</v>
      </c>
      <c r="P182" s="52"/>
      <c r="Q182" s="92" t="s">
        <v>303</v>
      </c>
      <c r="R182" s="92" t="s">
        <v>89</v>
      </c>
      <c r="S182" s="92" t="s">
        <v>303</v>
      </c>
      <c r="T182" s="92"/>
      <c r="U182" s="92"/>
      <c r="V182" s="92"/>
      <c r="W182" s="51"/>
      <c r="X182" s="92" t="s">
        <v>303</v>
      </c>
      <c r="Y182" s="92" t="s">
        <v>303</v>
      </c>
      <c r="Z182" s="92"/>
      <c r="AA182" s="92" t="s">
        <v>89</v>
      </c>
      <c r="AB182" s="92" t="s">
        <v>89</v>
      </c>
      <c r="AC182" s="92"/>
      <c r="AD182" s="92" t="s">
        <v>89</v>
      </c>
      <c r="AE182" s="92" t="s">
        <v>89</v>
      </c>
      <c r="AF182" s="92" t="s">
        <v>303</v>
      </c>
      <c r="AG182" s="92" t="s">
        <v>89</v>
      </c>
      <c r="AH182" s="92" t="s">
        <v>303</v>
      </c>
      <c r="AI182" s="92" t="s">
        <v>303</v>
      </c>
      <c r="AJ182" s="92" t="s">
        <v>304</v>
      </c>
      <c r="AK182" s="52"/>
      <c r="AL182" s="92" t="s">
        <v>303</v>
      </c>
      <c r="AM182" s="92" t="s">
        <v>89</v>
      </c>
      <c r="AN182" s="92" t="s">
        <v>303</v>
      </c>
      <c r="AO182" s="92"/>
      <c r="AP182" s="92"/>
    </row>
    <row r="183" spans="1:42" ht="31.5">
      <c r="A183" s="91" t="s">
        <v>170</v>
      </c>
      <c r="C183" s="28">
        <v>0</v>
      </c>
      <c r="D183" s="7">
        <v>0</v>
      </c>
      <c r="E183" s="7"/>
      <c r="F183" s="7"/>
      <c r="G183" s="7"/>
      <c r="H183" s="7"/>
      <c r="I183" s="7"/>
      <c r="J183" s="7"/>
      <c r="K183" s="29"/>
      <c r="L183" s="7"/>
      <c r="M183" s="29">
        <v>0</v>
      </c>
      <c r="N183" s="29">
        <v>0</v>
      </c>
      <c r="O183" s="28">
        <v>0</v>
      </c>
      <c r="P183" s="7"/>
      <c r="Q183" s="7"/>
      <c r="R183" s="7"/>
      <c r="S183" s="7"/>
      <c r="W183" s="51"/>
      <c r="X183" s="92">
        <v>0</v>
      </c>
      <c r="Y183" s="29">
        <v>0</v>
      </c>
      <c r="AE183" s="29"/>
      <c r="AF183" s="29">
        <v>0</v>
      </c>
      <c r="AG183" s="29"/>
      <c r="AH183" s="29">
        <v>0</v>
      </c>
      <c r="AI183" s="29">
        <v>0</v>
      </c>
      <c r="AJ183" s="29">
        <v>0</v>
      </c>
      <c r="AK183" s="7"/>
      <c r="AL183" s="29"/>
      <c r="AM183" s="29"/>
      <c r="AN183" s="29"/>
      <c r="AO183" s="29"/>
      <c r="AP183" s="29"/>
    </row>
    <row r="184" spans="1:42" ht="31.5">
      <c r="A184" s="91" t="s">
        <v>305</v>
      </c>
      <c r="C184" s="7"/>
      <c r="D184" s="7"/>
      <c r="E184" s="7"/>
      <c r="F184" s="7"/>
      <c r="G184" s="7"/>
      <c r="H184" s="7"/>
      <c r="I184" s="7"/>
      <c r="J184" s="7"/>
      <c r="K184" s="29"/>
      <c r="L184" s="7"/>
      <c r="M184" s="29"/>
      <c r="N184" s="29"/>
      <c r="O184" s="7"/>
      <c r="P184" s="7"/>
      <c r="Q184" s="7"/>
      <c r="R184" s="7"/>
      <c r="S184" s="7"/>
      <c r="W184" s="51"/>
      <c r="AE184" s="29"/>
      <c r="AF184" s="29"/>
      <c r="AG184" s="29"/>
      <c r="AI184" s="29"/>
      <c r="AK184" s="7"/>
      <c r="AL184" s="29"/>
      <c r="AM184" s="29"/>
      <c r="AN184" s="29"/>
      <c r="AO184" s="29"/>
      <c r="AP184" s="29"/>
    </row>
    <row r="185" spans="1:42" ht="31.5">
      <c r="A185" s="91" t="s">
        <v>306</v>
      </c>
      <c r="C185" s="7"/>
      <c r="D185" s="7"/>
      <c r="E185" s="7"/>
      <c r="F185" s="7"/>
      <c r="G185" s="7"/>
      <c r="H185" s="7"/>
      <c r="I185" s="7"/>
      <c r="J185" s="7"/>
      <c r="K185" s="29"/>
      <c r="L185" s="7"/>
      <c r="M185" s="29"/>
      <c r="N185" s="29"/>
      <c r="O185" s="7"/>
      <c r="P185" s="7"/>
      <c r="Q185" s="7"/>
      <c r="R185" s="7"/>
      <c r="S185" s="7"/>
      <c r="W185" s="51"/>
      <c r="AE185" s="29"/>
      <c r="AF185" s="29"/>
      <c r="AG185" s="29"/>
      <c r="AI185" s="29"/>
      <c r="AK185" s="7"/>
      <c r="AL185" s="29"/>
      <c r="AM185" s="29"/>
      <c r="AN185" s="29"/>
      <c r="AO185" s="29"/>
      <c r="AP185" s="29"/>
    </row>
    <row r="186" spans="1:42" ht="15.75">
      <c r="A186" s="68" t="s">
        <v>315</v>
      </c>
      <c r="B186" s="68"/>
      <c r="C186" s="96"/>
      <c r="D186" s="96"/>
      <c r="E186" s="96"/>
      <c r="F186" s="96"/>
      <c r="G186" s="96"/>
      <c r="H186" s="96"/>
      <c r="I186" s="96"/>
      <c r="J186" s="96"/>
      <c r="K186" s="70"/>
      <c r="L186" s="96"/>
      <c r="N186" s="70" t="s">
        <v>390</v>
      </c>
      <c r="O186" s="96"/>
      <c r="P186" s="96"/>
      <c r="Q186" s="96"/>
      <c r="R186" s="96"/>
      <c r="S186" s="96"/>
      <c r="T186" s="70"/>
      <c r="U186" s="70"/>
      <c r="V186" s="70"/>
      <c r="W186" s="68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 t="s">
        <v>403</v>
      </c>
      <c r="AI186" s="70" t="s">
        <v>390</v>
      </c>
      <c r="AJ186" s="70"/>
      <c r="AK186" s="96"/>
      <c r="AL186" s="70"/>
      <c r="AM186" s="70"/>
      <c r="AN186" s="70"/>
      <c r="AO186" s="70"/>
      <c r="AP186" s="70"/>
    </row>
    <row r="187" spans="1:42" ht="15.75">
      <c r="A187" s="86" t="s">
        <v>136</v>
      </c>
      <c r="C187" s="7"/>
      <c r="D187" s="7"/>
      <c r="E187" s="7"/>
      <c r="F187" s="7">
        <v>5</v>
      </c>
      <c r="G187" s="7"/>
      <c r="H187" s="7"/>
      <c r="I187" s="7">
        <v>5</v>
      </c>
      <c r="J187" s="7">
        <v>5</v>
      </c>
      <c r="K187" s="29"/>
      <c r="L187" s="7">
        <v>5</v>
      </c>
      <c r="N187" s="29">
        <v>18</v>
      </c>
      <c r="O187" s="7"/>
      <c r="P187" s="7"/>
      <c r="Q187" s="7">
        <v>5</v>
      </c>
      <c r="R187" s="7">
        <v>5</v>
      </c>
      <c r="S187" s="7">
        <v>5</v>
      </c>
      <c r="W187" s="51"/>
      <c r="AA187" s="29">
        <v>5</v>
      </c>
      <c r="AD187" s="29">
        <v>5</v>
      </c>
      <c r="AE187" s="29">
        <v>5</v>
      </c>
      <c r="AF187" s="29">
        <v>254</v>
      </c>
      <c r="AG187" s="29">
        <v>5</v>
      </c>
      <c r="AH187" s="29">
        <v>86</v>
      </c>
      <c r="AI187" s="29">
        <v>18</v>
      </c>
      <c r="AK187" s="7"/>
      <c r="AL187" s="29">
        <v>5</v>
      </c>
      <c r="AM187" s="29">
        <v>5</v>
      </c>
      <c r="AN187" s="29">
        <v>5</v>
      </c>
      <c r="AO187" s="29"/>
      <c r="AP187" s="29"/>
    </row>
    <row r="188" spans="1:42" ht="15.75">
      <c r="A188" s="71" t="s">
        <v>300</v>
      </c>
      <c r="B188" s="86"/>
      <c r="C188" s="7"/>
      <c r="D188" s="7"/>
      <c r="E188" s="7"/>
      <c r="F188" s="7">
        <v>1</v>
      </c>
      <c r="G188" s="7"/>
      <c r="H188" s="7"/>
      <c r="I188" s="7">
        <v>1</v>
      </c>
      <c r="J188" s="7">
        <v>1</v>
      </c>
      <c r="K188" s="29"/>
      <c r="L188" s="7">
        <v>1</v>
      </c>
      <c r="N188" s="29">
        <v>1</v>
      </c>
      <c r="O188" s="7"/>
      <c r="P188" s="7"/>
      <c r="Q188" s="7">
        <v>1</v>
      </c>
      <c r="R188" s="7">
        <v>1</v>
      </c>
      <c r="S188" s="7">
        <v>1</v>
      </c>
      <c r="W188" s="86"/>
      <c r="AA188" s="29">
        <v>1</v>
      </c>
      <c r="AD188" s="29">
        <v>1</v>
      </c>
      <c r="AE188" s="29">
        <v>1</v>
      </c>
      <c r="AF188" s="29">
        <v>255</v>
      </c>
      <c r="AG188" s="29">
        <v>1</v>
      </c>
      <c r="AH188" s="29">
        <v>1</v>
      </c>
      <c r="AI188" s="29">
        <v>1</v>
      </c>
      <c r="AK188" s="7"/>
      <c r="AL188" s="29">
        <v>1</v>
      </c>
      <c r="AM188" s="29">
        <v>1</v>
      </c>
      <c r="AN188" s="29">
        <v>1</v>
      </c>
      <c r="AO188" s="29"/>
      <c r="AP188" s="29"/>
    </row>
    <row r="189" spans="1:42" ht="15.75">
      <c r="A189" s="71" t="s">
        <v>137</v>
      </c>
      <c r="C189" s="7"/>
      <c r="D189" s="7"/>
      <c r="E189" s="7"/>
      <c r="F189" s="7">
        <v>1</v>
      </c>
      <c r="G189" s="7"/>
      <c r="H189" s="7"/>
      <c r="I189" s="7">
        <v>1</v>
      </c>
      <c r="J189" s="7">
        <v>1</v>
      </c>
      <c r="K189" s="29"/>
      <c r="L189" s="7">
        <v>1</v>
      </c>
      <c r="N189" s="29">
        <v>0</v>
      </c>
      <c r="O189" s="7"/>
      <c r="P189" s="7"/>
      <c r="Q189" s="7">
        <v>1</v>
      </c>
      <c r="R189" s="7">
        <v>1</v>
      </c>
      <c r="S189" s="7">
        <v>1</v>
      </c>
      <c r="W189" s="51"/>
      <c r="AA189" s="29">
        <v>1</v>
      </c>
      <c r="AD189" s="29">
        <v>1</v>
      </c>
      <c r="AE189" s="29">
        <v>1</v>
      </c>
      <c r="AF189" s="29">
        <v>2</v>
      </c>
      <c r="AG189" s="29">
        <v>1</v>
      </c>
      <c r="AH189" s="29">
        <v>0</v>
      </c>
      <c r="AI189" s="29">
        <v>0</v>
      </c>
      <c r="AK189" s="7"/>
      <c r="AL189" s="29">
        <v>1</v>
      </c>
      <c r="AM189" s="29">
        <v>1</v>
      </c>
      <c r="AN189" s="29">
        <v>1</v>
      </c>
      <c r="AO189" s="29"/>
      <c r="AP189" s="29"/>
    </row>
    <row r="190" spans="1:42" ht="15.75">
      <c r="A190" s="71" t="s">
        <v>138</v>
      </c>
      <c r="C190" s="7"/>
      <c r="D190" s="7"/>
      <c r="E190" s="7"/>
      <c r="F190" s="7" t="s">
        <v>101</v>
      </c>
      <c r="G190" s="7"/>
      <c r="H190" s="7"/>
      <c r="I190" s="7" t="s">
        <v>101</v>
      </c>
      <c r="J190" s="7" t="s">
        <v>101</v>
      </c>
      <c r="K190" s="29"/>
      <c r="L190" s="7" t="s">
        <v>101</v>
      </c>
      <c r="N190" s="29" t="s">
        <v>139</v>
      </c>
      <c r="O190" s="7"/>
      <c r="P190" s="7"/>
      <c r="Q190" s="7" t="s">
        <v>101</v>
      </c>
      <c r="R190" s="7" t="s">
        <v>101</v>
      </c>
      <c r="S190" s="7" t="s">
        <v>101</v>
      </c>
      <c r="W190" s="51"/>
      <c r="AA190" s="29" t="s">
        <v>101</v>
      </c>
      <c r="AD190" s="29" t="s">
        <v>101</v>
      </c>
      <c r="AE190" s="29" t="s">
        <v>101</v>
      </c>
      <c r="AF190" s="29" t="s">
        <v>139</v>
      </c>
      <c r="AG190" s="29" t="s">
        <v>101</v>
      </c>
      <c r="AH190" s="29" t="s">
        <v>139</v>
      </c>
      <c r="AI190" s="29" t="s">
        <v>139</v>
      </c>
      <c r="AK190" s="7"/>
      <c r="AL190" s="29" t="s">
        <v>101</v>
      </c>
      <c r="AM190" s="29" t="s">
        <v>101</v>
      </c>
      <c r="AN190" s="29" t="s">
        <v>101</v>
      </c>
      <c r="AO190" s="29"/>
      <c r="AP190" s="29"/>
    </row>
    <row r="191" spans="1:42" ht="15.75">
      <c r="A191" s="71" t="s">
        <v>140</v>
      </c>
      <c r="C191" s="7"/>
      <c r="D191" s="107"/>
      <c r="E191" s="107"/>
      <c r="F191" s="107">
        <f>2/3</f>
        <v>0.66666666666666663</v>
      </c>
      <c r="G191" s="107"/>
      <c r="H191" s="107"/>
      <c r="I191" s="107">
        <f>2/3</f>
        <v>0.66666666666666663</v>
      </c>
      <c r="J191" s="107">
        <f>2/3</f>
        <v>0.66666666666666663</v>
      </c>
      <c r="K191" s="88"/>
      <c r="L191" s="107">
        <f>2/3</f>
        <v>0.66666666666666663</v>
      </c>
      <c r="N191" s="88">
        <f>2/3</f>
        <v>0.66666666666666663</v>
      </c>
      <c r="O191" s="7"/>
      <c r="P191" s="107"/>
      <c r="Q191" s="107">
        <f>2/3</f>
        <v>0.66666666666666663</v>
      </c>
      <c r="R191" s="107">
        <f>2/3</f>
        <v>0.66666666666666663</v>
      </c>
      <c r="S191" s="107">
        <f>2/3</f>
        <v>0.66666666666666663</v>
      </c>
      <c r="T191" s="88"/>
      <c r="U191" s="88"/>
      <c r="V191" s="88"/>
      <c r="W191" s="51"/>
      <c r="Y191" s="88"/>
      <c r="Z191" s="88"/>
      <c r="AA191" s="88">
        <f>2/3</f>
        <v>0.66666666666666663</v>
      </c>
      <c r="AB191" s="88"/>
      <c r="AC191" s="88"/>
      <c r="AD191" s="88">
        <f>2/3</f>
        <v>0.66666666666666663</v>
      </c>
      <c r="AE191" s="88">
        <f>2/3</f>
        <v>0.66666666666666663</v>
      </c>
      <c r="AF191" s="88">
        <f>3/4</f>
        <v>0.75</v>
      </c>
      <c r="AG191" s="88">
        <f>2/3</f>
        <v>0.66666666666666663</v>
      </c>
      <c r="AH191" s="88">
        <f>2/3</f>
        <v>0.66666666666666663</v>
      </c>
      <c r="AI191" s="88">
        <f>2/3</f>
        <v>0.66666666666666663</v>
      </c>
      <c r="AJ191" s="88"/>
      <c r="AK191" s="107"/>
      <c r="AL191" s="88">
        <f>2/3</f>
        <v>0.66666666666666663</v>
      </c>
      <c r="AM191" s="88">
        <f>2/3</f>
        <v>0.66666666666666663</v>
      </c>
      <c r="AN191" s="88">
        <f>2/3</f>
        <v>0.66666666666666663</v>
      </c>
      <c r="AO191" s="88"/>
      <c r="AP191" s="88"/>
    </row>
    <row r="192" spans="1:42" ht="15.75">
      <c r="A192" s="71" t="s">
        <v>146</v>
      </c>
      <c r="C192" s="7"/>
      <c r="D192" s="7"/>
      <c r="E192" s="7"/>
      <c r="F192" s="7">
        <v>16200</v>
      </c>
      <c r="G192" s="7"/>
      <c r="H192" s="7"/>
      <c r="I192" s="7">
        <v>16200</v>
      </c>
      <c r="J192" s="7">
        <v>16200</v>
      </c>
      <c r="K192" s="29"/>
      <c r="L192" s="7">
        <v>16200</v>
      </c>
      <c r="N192" s="29">
        <v>16200</v>
      </c>
      <c r="O192" s="7"/>
      <c r="P192" s="7"/>
      <c r="Q192" s="7">
        <v>16200</v>
      </c>
      <c r="R192" s="7">
        <v>16200</v>
      </c>
      <c r="S192" s="7">
        <v>16200</v>
      </c>
      <c r="W192" s="51"/>
      <c r="AA192" s="29">
        <v>16200</v>
      </c>
      <c r="AD192" s="29">
        <v>16200</v>
      </c>
      <c r="AE192" s="29">
        <v>16200</v>
      </c>
      <c r="AF192" s="29">
        <v>64800</v>
      </c>
      <c r="AG192" s="29">
        <v>16200</v>
      </c>
      <c r="AH192" s="29">
        <v>16200</v>
      </c>
      <c r="AI192" s="29">
        <v>16200</v>
      </c>
      <c r="AK192" s="7"/>
      <c r="AL192" s="29">
        <v>16200</v>
      </c>
      <c r="AM192" s="29">
        <v>16200</v>
      </c>
      <c r="AN192" s="29">
        <v>16200</v>
      </c>
      <c r="AO192" s="29"/>
      <c r="AP192" s="29"/>
    </row>
    <row r="193" spans="1:42" ht="15.75">
      <c r="A193" s="71" t="s">
        <v>147</v>
      </c>
      <c r="C193" s="7"/>
      <c r="D193" s="7"/>
      <c r="E193" s="7"/>
      <c r="F193" s="7" t="s">
        <v>88</v>
      </c>
      <c r="G193" s="7"/>
      <c r="H193" s="7"/>
      <c r="I193" s="7" t="s">
        <v>88</v>
      </c>
      <c r="J193" s="7" t="s">
        <v>88</v>
      </c>
      <c r="K193" s="29"/>
      <c r="L193" s="7" t="s">
        <v>88</v>
      </c>
      <c r="N193" s="29" t="s">
        <v>88</v>
      </c>
      <c r="O193" s="7"/>
      <c r="P193" s="7"/>
      <c r="Q193" s="7" t="s">
        <v>88</v>
      </c>
      <c r="R193" s="7" t="s">
        <v>88</v>
      </c>
      <c r="S193" s="7" t="s">
        <v>88</v>
      </c>
      <c r="W193" s="51"/>
      <c r="AA193" s="29" t="s">
        <v>88</v>
      </c>
      <c r="AD193" s="29" t="s">
        <v>88</v>
      </c>
      <c r="AE193" s="29" t="s">
        <v>88</v>
      </c>
      <c r="AF193" s="29" t="s">
        <v>88</v>
      </c>
      <c r="AG193" s="29" t="s">
        <v>88</v>
      </c>
      <c r="AH193" s="29" t="s">
        <v>88</v>
      </c>
      <c r="AI193" s="29" t="s">
        <v>88</v>
      </c>
      <c r="AK193" s="7"/>
      <c r="AL193" s="29" t="s">
        <v>88</v>
      </c>
      <c r="AM193" s="29" t="s">
        <v>88</v>
      </c>
      <c r="AN193" s="29" t="s">
        <v>88</v>
      </c>
      <c r="AO193" s="29"/>
      <c r="AP193" s="29"/>
    </row>
    <row r="194" spans="1:42" ht="15.75">
      <c r="A194" s="71" t="s">
        <v>148</v>
      </c>
      <c r="B194" s="53"/>
      <c r="C194" s="7"/>
      <c r="D194" s="7"/>
      <c r="E194" s="7"/>
      <c r="F194" s="7">
        <v>12</v>
      </c>
      <c r="G194" s="7"/>
      <c r="H194" s="7"/>
      <c r="I194" s="7">
        <v>12</v>
      </c>
      <c r="J194" s="7">
        <v>12</v>
      </c>
      <c r="K194" s="29"/>
      <c r="L194" s="7">
        <v>12</v>
      </c>
      <c r="N194" s="29" t="s">
        <v>301</v>
      </c>
      <c r="O194" s="7"/>
      <c r="P194" s="7"/>
      <c r="Q194" s="7">
        <v>4</v>
      </c>
      <c r="R194" s="7">
        <v>12</v>
      </c>
      <c r="S194" s="7">
        <v>4</v>
      </c>
      <c r="W194" s="53"/>
      <c r="AA194" s="29">
        <v>12</v>
      </c>
      <c r="AD194" s="29">
        <v>12</v>
      </c>
      <c r="AE194" s="29">
        <v>12</v>
      </c>
      <c r="AF194" s="29" t="s">
        <v>301</v>
      </c>
      <c r="AG194" s="29">
        <v>12</v>
      </c>
      <c r="AH194" s="29" t="s">
        <v>301</v>
      </c>
      <c r="AI194" s="29" t="s">
        <v>301</v>
      </c>
      <c r="AK194" s="7"/>
      <c r="AL194" s="29">
        <v>3</v>
      </c>
      <c r="AM194" s="29">
        <v>12</v>
      </c>
      <c r="AN194" s="29">
        <v>3</v>
      </c>
      <c r="AO194" s="29"/>
      <c r="AP194" s="29"/>
    </row>
    <row r="195" spans="1:42" ht="15.75">
      <c r="A195" s="71" t="s">
        <v>150</v>
      </c>
      <c r="C195" s="7"/>
      <c r="D195" s="7"/>
      <c r="E195" s="7"/>
      <c r="F195" s="7">
        <v>12</v>
      </c>
      <c r="G195" s="7"/>
      <c r="H195" s="7"/>
      <c r="I195" s="7">
        <v>12</v>
      </c>
      <c r="J195" s="7">
        <v>12</v>
      </c>
      <c r="K195" s="29"/>
      <c r="L195" s="7">
        <v>12</v>
      </c>
      <c r="N195" s="29">
        <v>1</v>
      </c>
      <c r="O195" s="7"/>
      <c r="P195" s="7"/>
      <c r="Q195" s="7">
        <v>4</v>
      </c>
      <c r="R195" s="7">
        <v>12</v>
      </c>
      <c r="S195" s="7">
        <v>4</v>
      </c>
      <c r="W195" s="51"/>
      <c r="AA195" s="29">
        <v>12</v>
      </c>
      <c r="AD195" s="29">
        <v>12</v>
      </c>
      <c r="AE195" s="29">
        <v>12</v>
      </c>
      <c r="AF195" s="29">
        <v>13</v>
      </c>
      <c r="AG195" s="29">
        <v>12</v>
      </c>
      <c r="AH195" s="29">
        <v>1</v>
      </c>
      <c r="AI195" s="29">
        <v>1</v>
      </c>
      <c r="AK195" s="7"/>
      <c r="AL195" s="29">
        <v>3</v>
      </c>
      <c r="AM195" s="29">
        <v>12</v>
      </c>
      <c r="AN195" s="29">
        <v>3</v>
      </c>
      <c r="AO195" s="29"/>
      <c r="AP195" s="29"/>
    </row>
    <row r="196" spans="1:42" ht="15.75">
      <c r="A196" s="71" t="s">
        <v>152</v>
      </c>
      <c r="B196" s="53"/>
      <c r="C196" s="7"/>
      <c r="D196" s="7"/>
      <c r="E196" s="7"/>
      <c r="F196" s="7">
        <v>1</v>
      </c>
      <c r="G196" s="7"/>
      <c r="H196" s="7"/>
      <c r="I196" s="7">
        <v>1</v>
      </c>
      <c r="J196" s="7">
        <v>1</v>
      </c>
      <c r="K196" s="29"/>
      <c r="L196" s="7">
        <v>1</v>
      </c>
      <c r="N196" s="29">
        <v>1</v>
      </c>
      <c r="O196" s="7"/>
      <c r="P196" s="7"/>
      <c r="Q196" s="7">
        <v>1</v>
      </c>
      <c r="R196" s="7">
        <v>1</v>
      </c>
      <c r="S196" s="7">
        <v>1</v>
      </c>
      <c r="W196" s="53"/>
      <c r="AA196" s="29">
        <v>1</v>
      </c>
      <c r="AD196" s="29">
        <v>1</v>
      </c>
      <c r="AE196" s="29">
        <v>1</v>
      </c>
      <c r="AF196" s="29">
        <v>1</v>
      </c>
      <c r="AG196" s="29">
        <v>1</v>
      </c>
      <c r="AH196" s="29">
        <v>1</v>
      </c>
      <c r="AI196" s="29">
        <v>1</v>
      </c>
      <c r="AK196" s="7"/>
      <c r="AL196" s="29">
        <v>1</v>
      </c>
      <c r="AM196" s="29">
        <v>1</v>
      </c>
      <c r="AN196" s="29">
        <v>1</v>
      </c>
      <c r="AO196" s="29"/>
      <c r="AP196" s="29"/>
    </row>
    <row r="197" spans="1:42" ht="15.75">
      <c r="A197" s="71" t="s">
        <v>154</v>
      </c>
      <c r="B197" s="53"/>
      <c r="C197" s="7"/>
      <c r="D197" s="7"/>
      <c r="E197" s="7"/>
      <c r="F197" s="7">
        <v>1</v>
      </c>
      <c r="G197" s="7"/>
      <c r="H197" s="7"/>
      <c r="I197" s="7">
        <v>1</v>
      </c>
      <c r="J197" s="7">
        <v>1</v>
      </c>
      <c r="K197" s="29"/>
      <c r="L197" s="7">
        <v>1</v>
      </c>
      <c r="N197" s="29">
        <v>1</v>
      </c>
      <c r="O197" s="7"/>
      <c r="P197" s="7"/>
      <c r="Q197" s="7">
        <v>1</v>
      </c>
      <c r="R197" s="7">
        <v>1</v>
      </c>
      <c r="S197" s="7">
        <v>1</v>
      </c>
      <c r="W197" s="53"/>
      <c r="AA197" s="29">
        <v>1</v>
      </c>
      <c r="AD197" s="29">
        <v>1</v>
      </c>
      <c r="AE197" s="29">
        <v>1</v>
      </c>
      <c r="AF197" s="29">
        <v>1</v>
      </c>
      <c r="AG197" s="29">
        <v>1</v>
      </c>
      <c r="AH197" s="29">
        <v>1</v>
      </c>
      <c r="AI197" s="29">
        <v>1</v>
      </c>
      <c r="AK197" s="7"/>
      <c r="AL197" s="29">
        <v>1</v>
      </c>
      <c r="AM197" s="29">
        <v>1</v>
      </c>
      <c r="AN197" s="29">
        <v>1</v>
      </c>
      <c r="AO197" s="29"/>
      <c r="AP197" s="29"/>
    </row>
    <row r="198" spans="1:42" ht="15.75">
      <c r="A198" s="71" t="s">
        <v>155</v>
      </c>
      <c r="C198" s="7"/>
      <c r="D198" s="7"/>
      <c r="E198" s="7"/>
      <c r="F198" s="7">
        <v>4</v>
      </c>
      <c r="G198" s="7"/>
      <c r="H198" s="7"/>
      <c r="I198" s="7">
        <v>4</v>
      </c>
      <c r="J198" s="7">
        <v>4</v>
      </c>
      <c r="K198" s="29"/>
      <c r="L198" s="7">
        <v>4</v>
      </c>
      <c r="N198" s="29">
        <v>1</v>
      </c>
      <c r="O198" s="7"/>
      <c r="P198" s="7"/>
      <c r="Q198" s="7">
        <v>1</v>
      </c>
      <c r="R198" s="7">
        <v>4</v>
      </c>
      <c r="S198" s="7">
        <v>1</v>
      </c>
      <c r="W198" s="51"/>
      <c r="AA198" s="29">
        <v>4</v>
      </c>
      <c r="AD198" s="29">
        <v>4</v>
      </c>
      <c r="AE198" s="29">
        <v>4</v>
      </c>
      <c r="AF198" s="29">
        <v>1</v>
      </c>
      <c r="AG198" s="29">
        <v>4</v>
      </c>
      <c r="AH198" s="29">
        <v>1</v>
      </c>
      <c r="AI198" s="29">
        <v>1</v>
      </c>
      <c r="AK198" s="7"/>
      <c r="AL198" s="29">
        <v>1</v>
      </c>
      <c r="AM198" s="29">
        <v>4</v>
      </c>
      <c r="AN198" s="29">
        <v>1</v>
      </c>
      <c r="AO198" s="29"/>
      <c r="AP198" s="29"/>
    </row>
    <row r="199" spans="1:42" ht="15.75">
      <c r="A199" s="71" t="s">
        <v>302</v>
      </c>
      <c r="B199" s="71"/>
      <c r="C199" s="7"/>
      <c r="D199" s="7"/>
      <c r="E199" s="7"/>
      <c r="F199" s="7">
        <v>1</v>
      </c>
      <c r="G199" s="7"/>
      <c r="H199" s="7"/>
      <c r="I199" s="7">
        <v>1</v>
      </c>
      <c r="J199" s="7">
        <v>1</v>
      </c>
      <c r="K199" s="29"/>
      <c r="L199" s="7">
        <v>1</v>
      </c>
      <c r="N199" s="29">
        <v>0</v>
      </c>
      <c r="O199" s="7"/>
      <c r="P199" s="7"/>
      <c r="Q199" s="7">
        <v>0</v>
      </c>
      <c r="R199" s="7">
        <v>1</v>
      </c>
      <c r="S199" s="7">
        <v>0</v>
      </c>
      <c r="W199" s="71"/>
      <c r="AA199" s="29">
        <v>1</v>
      </c>
      <c r="AD199" s="29">
        <v>1</v>
      </c>
      <c r="AE199" s="29">
        <v>1</v>
      </c>
      <c r="AF199" s="29">
        <v>0</v>
      </c>
      <c r="AG199" s="29">
        <v>1</v>
      </c>
      <c r="AH199" s="29">
        <v>0</v>
      </c>
      <c r="AI199" s="29">
        <v>0</v>
      </c>
      <c r="AK199" s="7"/>
      <c r="AL199" s="29">
        <v>0</v>
      </c>
      <c r="AM199" s="29">
        <v>1</v>
      </c>
      <c r="AN199" s="29">
        <v>0</v>
      </c>
      <c r="AO199" s="29"/>
      <c r="AP199" s="29"/>
    </row>
    <row r="200" spans="1:42" ht="15.75">
      <c r="A200" s="89" t="s">
        <v>158</v>
      </c>
      <c r="B200" s="68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</row>
    <row r="201" spans="1:42" ht="15.75">
      <c r="A201" s="71" t="s">
        <v>159</v>
      </c>
      <c r="C201" s="7"/>
      <c r="D201" s="7"/>
      <c r="E201" s="7"/>
      <c r="F201" s="7" t="s">
        <v>160</v>
      </c>
      <c r="G201" s="7"/>
      <c r="H201" s="7"/>
      <c r="I201" s="7" t="s">
        <v>160</v>
      </c>
      <c r="J201" s="7" t="s">
        <v>160</v>
      </c>
      <c r="K201" s="29"/>
      <c r="L201" s="7" t="s">
        <v>160</v>
      </c>
      <c r="N201" s="29" t="s">
        <v>162</v>
      </c>
      <c r="O201" s="7"/>
      <c r="P201" s="7"/>
      <c r="Q201" s="7" t="s">
        <v>160</v>
      </c>
      <c r="R201" s="7" t="s">
        <v>160</v>
      </c>
      <c r="S201" s="7" t="s">
        <v>160</v>
      </c>
      <c r="W201" s="51"/>
      <c r="AA201" s="29" t="s">
        <v>160</v>
      </c>
      <c r="AD201" s="29" t="s">
        <v>160</v>
      </c>
      <c r="AE201" s="29" t="s">
        <v>160</v>
      </c>
      <c r="AF201" s="29" t="s">
        <v>160</v>
      </c>
      <c r="AG201" s="29" t="s">
        <v>160</v>
      </c>
      <c r="AH201" s="29" t="s">
        <v>162</v>
      </c>
      <c r="AI201" s="29" t="s">
        <v>162</v>
      </c>
      <c r="AK201" s="7"/>
      <c r="AL201" s="29" t="s">
        <v>160</v>
      </c>
      <c r="AM201" s="29" t="s">
        <v>160</v>
      </c>
      <c r="AN201" s="29" t="s">
        <v>160</v>
      </c>
      <c r="AO201" s="29"/>
      <c r="AP201" s="29"/>
    </row>
    <row r="202" spans="1:42" ht="15.75">
      <c r="A202" s="71" t="s">
        <v>163</v>
      </c>
      <c r="C202" s="7"/>
      <c r="D202" s="7"/>
      <c r="E202" s="7"/>
      <c r="F202" s="7" t="s">
        <v>88</v>
      </c>
      <c r="G202" s="7"/>
      <c r="H202" s="7"/>
      <c r="I202" s="7" t="s">
        <v>88</v>
      </c>
      <c r="J202" s="7" t="s">
        <v>88</v>
      </c>
      <c r="K202" s="29"/>
      <c r="L202" s="7" t="s">
        <v>88</v>
      </c>
      <c r="N202" s="29" t="s">
        <v>88</v>
      </c>
      <c r="O202" s="7"/>
      <c r="P202" s="7"/>
      <c r="Q202" s="7" t="s">
        <v>88</v>
      </c>
      <c r="R202" s="7" t="s">
        <v>88</v>
      </c>
      <c r="S202" s="7" t="s">
        <v>88</v>
      </c>
      <c r="W202" s="51"/>
      <c r="AA202" s="29" t="s">
        <v>88</v>
      </c>
      <c r="AD202" s="29" t="s">
        <v>88</v>
      </c>
      <c r="AE202" s="29" t="s">
        <v>88</v>
      </c>
      <c r="AF202" s="29" t="s">
        <v>88</v>
      </c>
      <c r="AG202" s="29" t="s">
        <v>88</v>
      </c>
      <c r="AH202" s="29" t="s">
        <v>88</v>
      </c>
      <c r="AI202" s="29" t="s">
        <v>88</v>
      </c>
      <c r="AK202" s="7"/>
      <c r="AL202" s="29" t="s">
        <v>88</v>
      </c>
      <c r="AM202" s="29" t="s">
        <v>88</v>
      </c>
      <c r="AN202" s="29" t="s">
        <v>88</v>
      </c>
      <c r="AO202" s="29"/>
      <c r="AP202" s="29"/>
    </row>
    <row r="203" spans="1:42" ht="15.75">
      <c r="A203" s="71" t="s">
        <v>165</v>
      </c>
      <c r="B203" s="71"/>
      <c r="C203" s="7"/>
      <c r="D203" s="7"/>
      <c r="E203" s="7"/>
      <c r="F203" s="7">
        <f>F178</f>
        <v>1048576</v>
      </c>
      <c r="G203" s="7"/>
      <c r="H203" s="7"/>
      <c r="I203" s="7">
        <f>1048576</f>
        <v>1048576</v>
      </c>
      <c r="J203" s="7">
        <f>1048576</f>
        <v>1048576</v>
      </c>
      <c r="K203" s="29"/>
      <c r="L203" s="7">
        <f>1048576</f>
        <v>1048576</v>
      </c>
      <c r="N203" s="29">
        <f>N178</f>
        <v>1048576</v>
      </c>
      <c r="O203" s="7"/>
      <c r="P203" s="7"/>
      <c r="Q203" s="7">
        <f>1048576</f>
        <v>1048576</v>
      </c>
      <c r="R203" s="7">
        <f>1048576</f>
        <v>1048576</v>
      </c>
      <c r="S203" s="7">
        <f>1048576</f>
        <v>1048576</v>
      </c>
      <c r="W203" s="71"/>
      <c r="AA203" s="29">
        <f>1024*1024</f>
        <v>1048576</v>
      </c>
      <c r="AD203" s="29">
        <f>1024*1024</f>
        <v>1048576</v>
      </c>
      <c r="AE203" s="29">
        <f>1024*1024</f>
        <v>1048576</v>
      </c>
      <c r="AF203" s="29">
        <f>1024*1024</f>
        <v>1048576</v>
      </c>
      <c r="AG203" s="29">
        <f>1024*1024</f>
        <v>1048576</v>
      </c>
      <c r="AH203" s="29">
        <f>AH178</f>
        <v>1048576</v>
      </c>
      <c r="AI203" s="29">
        <f>AI178</f>
        <v>1048576</v>
      </c>
      <c r="AK203" s="7"/>
      <c r="AL203" s="29">
        <f>1024*1024</f>
        <v>1048576</v>
      </c>
      <c r="AM203" s="29">
        <f>1024*1024</f>
        <v>1048576</v>
      </c>
      <c r="AN203" s="29">
        <f>1024*1024</f>
        <v>1048576</v>
      </c>
      <c r="AO203" s="29"/>
      <c r="AP203" s="29"/>
    </row>
    <row r="204" spans="1:42" ht="15.75">
      <c r="A204" s="71"/>
      <c r="B204" s="71"/>
      <c r="C204" s="7"/>
      <c r="D204" s="108"/>
      <c r="E204" s="108"/>
      <c r="F204" s="108"/>
      <c r="G204" s="108"/>
      <c r="H204" s="108"/>
      <c r="I204" s="108"/>
      <c r="J204" s="108"/>
      <c r="K204" s="29"/>
      <c r="L204" s="108"/>
      <c r="N204" s="29"/>
      <c r="O204" s="7"/>
      <c r="P204" s="108"/>
      <c r="Q204" s="108"/>
      <c r="R204" s="108"/>
      <c r="S204" s="108"/>
      <c r="W204" s="71"/>
      <c r="AE204" s="29"/>
      <c r="AF204" s="29"/>
      <c r="AG204" s="29"/>
      <c r="AI204" s="29"/>
      <c r="AK204" s="108"/>
      <c r="AL204" s="29"/>
      <c r="AM204" s="29"/>
      <c r="AN204" s="29"/>
      <c r="AO204" s="29"/>
      <c r="AP204" s="29"/>
    </row>
    <row r="205" spans="1:42" ht="15.75">
      <c r="A205" s="71" t="s">
        <v>166</v>
      </c>
      <c r="B205" s="71"/>
      <c r="C205" s="7"/>
      <c r="D205" s="7"/>
      <c r="E205" s="7"/>
      <c r="F205" s="7">
        <v>2858015</v>
      </c>
      <c r="G205" s="7"/>
      <c r="H205" s="7"/>
      <c r="I205" s="7">
        <f xml:space="preserve"> 3*931328+46605</f>
        <v>2840589</v>
      </c>
      <c r="J205" s="7">
        <f xml:space="preserve"> 3*931328+47928</f>
        <v>2841912</v>
      </c>
      <c r="K205" s="7"/>
      <c r="L205" s="7">
        <f xml:space="preserve"> 3*931328+47280</f>
        <v>2841264</v>
      </c>
      <c r="N205" s="29">
        <f>N180</f>
        <v>999961</v>
      </c>
      <c r="O205" s="7"/>
      <c r="P205" s="7"/>
      <c r="Q205" s="7">
        <f>Q180</f>
        <v>977855</v>
      </c>
      <c r="R205" s="7">
        <f xml:space="preserve"> 3*931328+46527</f>
        <v>2840511</v>
      </c>
      <c r="S205" s="7">
        <f>S180</f>
        <v>977933</v>
      </c>
      <c r="W205" s="71"/>
      <c r="AA205" s="29">
        <f>3*931328+216667+48155</f>
        <v>3058806</v>
      </c>
      <c r="AD205" s="29">
        <f>3*931328+216667+48155</f>
        <v>3058806</v>
      </c>
      <c r="AE205" s="29">
        <f>3*931328+216667+50804</f>
        <v>3061455</v>
      </c>
      <c r="AF205" s="29">
        <f>AF180</f>
        <v>955416</v>
      </c>
      <c r="AG205" s="29">
        <f>3*931328+216667+47280</f>
        <v>3057931</v>
      </c>
      <c r="AH205" s="29">
        <f>AH180</f>
        <v>958416</v>
      </c>
      <c r="AI205" s="29">
        <f>AI180</f>
        <v>999961</v>
      </c>
      <c r="AK205" s="7"/>
      <c r="AL205" s="29">
        <f>931328+46527</f>
        <v>977855</v>
      </c>
      <c r="AM205" s="29">
        <f>3*931328+46527</f>
        <v>2840511</v>
      </c>
      <c r="AN205" s="29">
        <f>AN180</f>
        <v>977933</v>
      </c>
      <c r="AO205" s="29"/>
      <c r="AP205" s="29"/>
    </row>
    <row r="206" spans="1:42" ht="15.75">
      <c r="A206" s="91" t="s">
        <v>83</v>
      </c>
      <c r="C206" s="7"/>
      <c r="D206" s="7"/>
      <c r="E206" s="7"/>
      <c r="F206" s="7" t="s">
        <v>88</v>
      </c>
      <c r="G206" s="7"/>
      <c r="H206" s="7"/>
      <c r="I206" s="7" t="s">
        <v>88</v>
      </c>
      <c r="J206" s="7" t="s">
        <v>88</v>
      </c>
      <c r="K206" s="29"/>
      <c r="L206" s="7" t="s">
        <v>88</v>
      </c>
      <c r="N206" s="29" t="s">
        <v>88</v>
      </c>
      <c r="O206" s="7"/>
      <c r="P206" s="7"/>
      <c r="Q206" s="7" t="s">
        <v>88</v>
      </c>
      <c r="R206" s="7" t="s">
        <v>88</v>
      </c>
      <c r="S206" s="7" t="s">
        <v>88</v>
      </c>
      <c r="W206" s="51"/>
      <c r="AA206" s="29" t="s">
        <v>88</v>
      </c>
      <c r="AD206" s="29" t="s">
        <v>88</v>
      </c>
      <c r="AE206" s="29" t="s">
        <v>88</v>
      </c>
      <c r="AF206" s="29" t="s">
        <v>88</v>
      </c>
      <c r="AG206" s="29" t="s">
        <v>88</v>
      </c>
      <c r="AH206" s="29" t="s">
        <v>88</v>
      </c>
      <c r="AI206" s="29" t="s">
        <v>88</v>
      </c>
      <c r="AK206" s="7"/>
      <c r="AL206" s="29" t="s">
        <v>88</v>
      </c>
      <c r="AM206" s="29" t="s">
        <v>88</v>
      </c>
      <c r="AN206" s="29" t="s">
        <v>88</v>
      </c>
      <c r="AO206" s="29"/>
      <c r="AP206" s="29"/>
    </row>
    <row r="207" spans="1:42" ht="15.75">
      <c r="A207" s="91" t="s">
        <v>168</v>
      </c>
      <c r="C207" s="29"/>
      <c r="D207" s="29"/>
      <c r="E207" s="29"/>
      <c r="F207" s="29" t="s">
        <v>89</v>
      </c>
      <c r="G207" s="29"/>
      <c r="H207" s="29"/>
      <c r="I207" s="29" t="s">
        <v>89</v>
      </c>
      <c r="J207" s="29" t="s">
        <v>89</v>
      </c>
      <c r="K207" s="29"/>
      <c r="L207" s="29" t="s">
        <v>89</v>
      </c>
      <c r="N207" s="92" t="s">
        <v>303</v>
      </c>
      <c r="O207" s="92"/>
      <c r="P207" s="52"/>
      <c r="Q207" s="92" t="s">
        <v>303</v>
      </c>
      <c r="R207" s="29" t="s">
        <v>89</v>
      </c>
      <c r="S207" s="92" t="s">
        <v>303</v>
      </c>
      <c r="W207" s="51"/>
      <c r="AA207" s="29" t="s">
        <v>89</v>
      </c>
      <c r="AD207" s="29" t="s">
        <v>89</v>
      </c>
      <c r="AE207" s="29" t="s">
        <v>89</v>
      </c>
      <c r="AF207" s="29" t="s">
        <v>303</v>
      </c>
      <c r="AG207" s="29" t="s">
        <v>89</v>
      </c>
      <c r="AH207" s="92" t="s">
        <v>303</v>
      </c>
      <c r="AI207" s="92" t="s">
        <v>303</v>
      </c>
      <c r="AJ207" s="92"/>
      <c r="AK207" s="52"/>
      <c r="AL207" s="92" t="s">
        <v>303</v>
      </c>
      <c r="AM207" s="29" t="s">
        <v>89</v>
      </c>
      <c r="AN207" s="92" t="s">
        <v>303</v>
      </c>
      <c r="AO207" s="29"/>
      <c r="AP207" s="29"/>
    </row>
    <row r="208" spans="1:42" ht="31.5">
      <c r="A208" s="91" t="s">
        <v>170</v>
      </c>
      <c r="C208" s="7"/>
      <c r="D208" s="7"/>
      <c r="E208" s="7"/>
      <c r="F208" s="7"/>
      <c r="G208" s="7"/>
      <c r="H208" s="7"/>
      <c r="I208" s="7"/>
      <c r="J208" s="7"/>
      <c r="K208" s="29"/>
      <c r="L208" s="7"/>
      <c r="N208" s="29">
        <v>0</v>
      </c>
      <c r="O208" s="7"/>
      <c r="P208" s="7"/>
      <c r="Q208" s="7"/>
      <c r="R208" s="7"/>
      <c r="S208" s="7"/>
      <c r="W208" s="51"/>
      <c r="AE208" s="29"/>
      <c r="AF208" s="29">
        <v>0</v>
      </c>
      <c r="AG208" s="29"/>
      <c r="AH208" s="29">
        <v>0</v>
      </c>
      <c r="AI208" s="29">
        <v>0</v>
      </c>
      <c r="AK208" s="7"/>
      <c r="AL208" s="29"/>
      <c r="AM208" s="29"/>
      <c r="AN208" s="29"/>
      <c r="AO208" s="29"/>
      <c r="AP208" s="29"/>
    </row>
    <row r="209" spans="1:42" ht="31.5">
      <c r="A209" s="91" t="s">
        <v>305</v>
      </c>
      <c r="C209" s="7"/>
      <c r="D209" s="7"/>
      <c r="E209" s="7"/>
      <c r="F209" s="7"/>
      <c r="G209" s="7"/>
      <c r="H209" s="7"/>
      <c r="I209" s="7"/>
      <c r="J209" s="7"/>
      <c r="K209" s="29"/>
      <c r="L209" s="7"/>
      <c r="N209" s="29"/>
      <c r="O209" s="7"/>
      <c r="P209" s="7"/>
      <c r="Q209" s="7"/>
      <c r="R209" s="7"/>
      <c r="S209" s="7"/>
      <c r="W209" s="51"/>
      <c r="AE209" s="29"/>
      <c r="AF209" s="29"/>
      <c r="AG209" s="29"/>
      <c r="AI209" s="29"/>
      <c r="AK209" s="7"/>
      <c r="AL209" s="29"/>
      <c r="AM209" s="29"/>
      <c r="AN209" s="29"/>
      <c r="AO209" s="29"/>
      <c r="AP209" s="29"/>
    </row>
    <row r="210" spans="1:42" ht="31.5">
      <c r="A210" s="91" t="s">
        <v>306</v>
      </c>
      <c r="C210" s="7"/>
      <c r="D210" s="7"/>
      <c r="E210" s="7"/>
      <c r="F210" s="7"/>
      <c r="G210" s="7"/>
      <c r="H210" s="7"/>
      <c r="I210" s="7"/>
      <c r="J210" s="7"/>
      <c r="K210" s="29"/>
      <c r="L210" s="7"/>
      <c r="N210" s="29"/>
      <c r="O210" s="7"/>
      <c r="P210" s="7"/>
      <c r="Q210" s="7"/>
      <c r="R210" s="7"/>
      <c r="S210" s="7"/>
      <c r="W210" s="51"/>
      <c r="AE210" s="29"/>
      <c r="AF210" s="29"/>
      <c r="AG210" s="29"/>
      <c r="AI210" s="29"/>
      <c r="AK210" s="7"/>
      <c r="AL210" s="29"/>
      <c r="AM210" s="29"/>
      <c r="AN210" s="29"/>
      <c r="AO210" s="29"/>
      <c r="AP210" s="29"/>
    </row>
    <row r="211" spans="1:42" ht="15.75">
      <c r="A211" s="68" t="s">
        <v>316</v>
      </c>
      <c r="B211" s="68"/>
      <c r="C211" s="96"/>
      <c r="D211" s="96"/>
      <c r="E211" s="96"/>
      <c r="F211" s="96"/>
      <c r="G211" s="96"/>
      <c r="H211" s="96"/>
      <c r="I211" s="96"/>
      <c r="J211" s="96"/>
      <c r="K211" s="70"/>
      <c r="L211" s="96"/>
      <c r="M211" s="70"/>
      <c r="N211" s="70"/>
      <c r="O211" s="96"/>
      <c r="P211" s="96"/>
      <c r="Q211" s="96"/>
      <c r="R211" s="96"/>
      <c r="S211" s="96"/>
      <c r="T211" s="70"/>
      <c r="U211" s="70"/>
      <c r="V211" s="70"/>
      <c r="W211" s="68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96"/>
      <c r="AL211" s="70"/>
      <c r="AM211" s="70"/>
      <c r="AN211" s="70"/>
      <c r="AO211" s="70"/>
      <c r="AP211" s="70"/>
    </row>
    <row r="212" spans="1:42" ht="15.75">
      <c r="A212" s="86" t="s">
        <v>136</v>
      </c>
      <c r="C212" s="7"/>
      <c r="D212" s="7"/>
      <c r="E212" s="7"/>
      <c r="F212" s="7">
        <v>6</v>
      </c>
      <c r="G212" s="7"/>
      <c r="H212" s="7"/>
      <c r="I212" s="7">
        <v>6</v>
      </c>
      <c r="J212" s="7">
        <v>6</v>
      </c>
      <c r="K212" s="29"/>
      <c r="L212" s="7">
        <v>6</v>
      </c>
      <c r="M212" s="52"/>
      <c r="N212" s="52"/>
      <c r="O212" s="7"/>
      <c r="P212" s="7"/>
      <c r="Q212" s="7">
        <v>6</v>
      </c>
      <c r="R212" s="7">
        <v>6</v>
      </c>
      <c r="S212" s="7">
        <v>6</v>
      </c>
      <c r="W212" s="51"/>
      <c r="AA212" s="29">
        <v>6</v>
      </c>
      <c r="AD212" s="29">
        <v>6</v>
      </c>
      <c r="AE212" s="29">
        <v>6</v>
      </c>
      <c r="AF212" s="29">
        <v>255</v>
      </c>
      <c r="AG212" s="29">
        <v>6</v>
      </c>
      <c r="AH212" s="52"/>
      <c r="AJ212" s="52"/>
      <c r="AK212" s="7"/>
      <c r="AL212" s="29">
        <v>6</v>
      </c>
      <c r="AM212" s="29">
        <v>6</v>
      </c>
      <c r="AN212" s="29">
        <v>6</v>
      </c>
      <c r="AO212" s="29"/>
      <c r="AP212" s="29"/>
    </row>
    <row r="213" spans="1:42" ht="15.75">
      <c r="A213" s="71" t="s">
        <v>300</v>
      </c>
      <c r="B213" s="86"/>
      <c r="C213" s="7"/>
      <c r="D213" s="7"/>
      <c r="E213" s="7"/>
      <c r="F213" s="7">
        <v>1</v>
      </c>
      <c r="G213" s="7"/>
      <c r="H213" s="7"/>
      <c r="I213" s="7">
        <v>1</v>
      </c>
      <c r="J213" s="7">
        <v>1</v>
      </c>
      <c r="K213" s="29"/>
      <c r="L213" s="7">
        <v>1</v>
      </c>
      <c r="M213" s="52"/>
      <c r="N213" s="52"/>
      <c r="O213" s="7"/>
      <c r="P213" s="7"/>
      <c r="Q213" s="7">
        <v>1</v>
      </c>
      <c r="R213" s="7">
        <v>1</v>
      </c>
      <c r="S213" s="7">
        <v>1</v>
      </c>
      <c r="W213" s="86"/>
      <c r="AA213" s="29">
        <v>1</v>
      </c>
      <c r="AD213" s="29">
        <v>1</v>
      </c>
      <c r="AE213" s="29">
        <v>1</v>
      </c>
      <c r="AF213" s="29">
        <v>255</v>
      </c>
      <c r="AG213" s="29">
        <v>1</v>
      </c>
      <c r="AH213" s="52"/>
      <c r="AJ213" s="52"/>
      <c r="AK213" s="7"/>
      <c r="AL213" s="29">
        <v>1</v>
      </c>
      <c r="AM213" s="29">
        <v>1</v>
      </c>
      <c r="AN213" s="29">
        <v>1</v>
      </c>
      <c r="AO213" s="29"/>
      <c r="AP213" s="29"/>
    </row>
    <row r="214" spans="1:42" ht="15.75">
      <c r="A214" s="71" t="s">
        <v>137</v>
      </c>
      <c r="C214" s="7"/>
      <c r="D214" s="7"/>
      <c r="E214" s="7"/>
      <c r="F214" s="7">
        <v>1</v>
      </c>
      <c r="G214" s="7"/>
      <c r="H214" s="7"/>
      <c r="I214" s="7">
        <v>1</v>
      </c>
      <c r="J214" s="7">
        <v>1</v>
      </c>
      <c r="K214" s="29"/>
      <c r="L214" s="7">
        <v>1</v>
      </c>
      <c r="M214" s="52"/>
      <c r="N214" s="52"/>
      <c r="O214" s="7"/>
      <c r="P214" s="7"/>
      <c r="Q214" s="7">
        <v>1</v>
      </c>
      <c r="R214" s="7">
        <v>1</v>
      </c>
      <c r="S214" s="7">
        <v>1</v>
      </c>
      <c r="W214" s="51"/>
      <c r="AA214" s="29">
        <v>1</v>
      </c>
      <c r="AD214" s="29">
        <v>1</v>
      </c>
      <c r="AE214" s="29">
        <v>1</v>
      </c>
      <c r="AF214" s="29">
        <v>0</v>
      </c>
      <c r="AG214" s="29">
        <v>1</v>
      </c>
      <c r="AH214" s="52"/>
      <c r="AJ214" s="52"/>
      <c r="AK214" s="7"/>
      <c r="AL214" s="29">
        <v>1</v>
      </c>
      <c r="AM214" s="29">
        <v>1</v>
      </c>
      <c r="AN214" s="29">
        <v>1</v>
      </c>
      <c r="AO214" s="29"/>
      <c r="AP214" s="29"/>
    </row>
    <row r="215" spans="1:42" ht="15.75">
      <c r="A215" s="71" t="s">
        <v>138</v>
      </c>
      <c r="C215" s="7"/>
      <c r="D215" s="7"/>
      <c r="E215" s="7"/>
      <c r="F215" s="7" t="s">
        <v>101</v>
      </c>
      <c r="G215" s="7"/>
      <c r="H215" s="7"/>
      <c r="I215" s="7" t="s">
        <v>101</v>
      </c>
      <c r="J215" s="7" t="s">
        <v>101</v>
      </c>
      <c r="K215" s="29"/>
      <c r="L215" s="7" t="s">
        <v>101</v>
      </c>
      <c r="M215" s="52"/>
      <c r="N215" s="52"/>
      <c r="O215" s="7"/>
      <c r="P215" s="7"/>
      <c r="Q215" s="7" t="s">
        <v>101</v>
      </c>
      <c r="R215" s="7" t="s">
        <v>101</v>
      </c>
      <c r="S215" s="7" t="s">
        <v>101</v>
      </c>
      <c r="W215" s="51"/>
      <c r="AA215" s="29" t="s">
        <v>101</v>
      </c>
      <c r="AD215" s="29" t="s">
        <v>101</v>
      </c>
      <c r="AE215" s="29" t="s">
        <v>101</v>
      </c>
      <c r="AF215" s="29" t="s">
        <v>139</v>
      </c>
      <c r="AG215" s="29" t="s">
        <v>101</v>
      </c>
      <c r="AH215" s="52"/>
      <c r="AJ215" s="52"/>
      <c r="AK215" s="7"/>
      <c r="AL215" s="29" t="s">
        <v>101</v>
      </c>
      <c r="AM215" s="29" t="s">
        <v>101</v>
      </c>
      <c r="AN215" s="29" t="s">
        <v>101</v>
      </c>
      <c r="AO215" s="29"/>
      <c r="AP215" s="29"/>
    </row>
    <row r="216" spans="1:42" ht="15.75">
      <c r="A216" s="71" t="s">
        <v>140</v>
      </c>
      <c r="C216" s="34"/>
      <c r="D216" s="107"/>
      <c r="E216" s="107"/>
      <c r="F216" s="107">
        <f>2/3</f>
        <v>0.66666666666666663</v>
      </c>
      <c r="G216" s="107"/>
      <c r="H216" s="107"/>
      <c r="I216" s="107">
        <f>2/3</f>
        <v>0.66666666666666663</v>
      </c>
      <c r="J216" s="107">
        <f>2/3</f>
        <v>0.66666666666666663</v>
      </c>
      <c r="K216" s="88"/>
      <c r="L216" s="107">
        <f>2/3</f>
        <v>0.66666666666666663</v>
      </c>
      <c r="M216" s="52"/>
      <c r="N216" s="52"/>
      <c r="O216" s="34"/>
      <c r="P216" s="107"/>
      <c r="Q216" s="107">
        <f>2/3</f>
        <v>0.66666666666666663</v>
      </c>
      <c r="R216" s="107">
        <f>2/3</f>
        <v>0.66666666666666663</v>
      </c>
      <c r="S216" s="107">
        <f>2/3</f>
        <v>0.66666666666666663</v>
      </c>
      <c r="T216" s="88"/>
      <c r="U216" s="88"/>
      <c r="V216" s="88"/>
      <c r="W216" s="51"/>
      <c r="X216" s="87"/>
      <c r="Y216" s="88"/>
      <c r="Z216" s="88"/>
      <c r="AA216" s="88">
        <f>2/3</f>
        <v>0.66666666666666663</v>
      </c>
      <c r="AB216" s="88"/>
      <c r="AC216" s="88"/>
      <c r="AD216" s="88">
        <f>2/3</f>
        <v>0.66666666666666663</v>
      </c>
      <c r="AE216" s="88">
        <f>2/3</f>
        <v>0.66666666666666663</v>
      </c>
      <c r="AF216" s="88">
        <f>3/4</f>
        <v>0.75</v>
      </c>
      <c r="AG216" s="88">
        <f>2/3</f>
        <v>0.66666666666666663</v>
      </c>
      <c r="AH216" s="52"/>
      <c r="AJ216" s="52"/>
      <c r="AK216" s="107"/>
      <c r="AL216" s="88">
        <f>2/3</f>
        <v>0.66666666666666663</v>
      </c>
      <c r="AM216" s="88">
        <f>2/3</f>
        <v>0.66666666666666663</v>
      </c>
      <c r="AN216" s="88">
        <f>2/3</f>
        <v>0.66666666666666663</v>
      </c>
      <c r="AO216" s="88"/>
      <c r="AP216" s="88"/>
    </row>
    <row r="217" spans="1:42" ht="15.75">
      <c r="A217" s="71" t="s">
        <v>146</v>
      </c>
      <c r="C217" s="7"/>
      <c r="D217" s="7"/>
      <c r="E217" s="7"/>
      <c r="F217" s="7">
        <v>16200</v>
      </c>
      <c r="G217" s="7"/>
      <c r="H217" s="7"/>
      <c r="I217" s="7">
        <v>16200</v>
      </c>
      <c r="J217" s="7">
        <v>16200</v>
      </c>
      <c r="K217" s="29"/>
      <c r="L217" s="7">
        <v>16200</v>
      </c>
      <c r="M217" s="52"/>
      <c r="N217" s="52"/>
      <c r="O217" s="7"/>
      <c r="P217" s="7"/>
      <c r="Q217" s="7">
        <v>16200</v>
      </c>
      <c r="R217" s="7">
        <v>16200</v>
      </c>
      <c r="S217" s="7">
        <v>16200</v>
      </c>
      <c r="W217" s="51"/>
      <c r="AA217" s="29">
        <v>16200</v>
      </c>
      <c r="AD217" s="29">
        <v>16200</v>
      </c>
      <c r="AE217" s="29">
        <v>16200</v>
      </c>
      <c r="AF217" s="29">
        <v>64800</v>
      </c>
      <c r="AG217" s="29">
        <v>16200</v>
      </c>
      <c r="AH217" s="52"/>
      <c r="AJ217" s="52"/>
      <c r="AK217" s="7"/>
      <c r="AL217" s="29">
        <v>16200</v>
      </c>
      <c r="AM217" s="29">
        <v>16200</v>
      </c>
      <c r="AN217" s="29">
        <v>16200</v>
      </c>
      <c r="AO217" s="29"/>
      <c r="AP217" s="29"/>
    </row>
    <row r="218" spans="1:42" ht="15.75">
      <c r="A218" s="71" t="s">
        <v>147</v>
      </c>
      <c r="C218" s="7"/>
      <c r="D218" s="7"/>
      <c r="E218" s="7"/>
      <c r="F218" s="7" t="s">
        <v>88</v>
      </c>
      <c r="G218" s="7"/>
      <c r="H218" s="7"/>
      <c r="I218" s="7" t="s">
        <v>88</v>
      </c>
      <c r="J218" s="7" t="s">
        <v>88</v>
      </c>
      <c r="K218" s="29"/>
      <c r="L218" s="7" t="s">
        <v>88</v>
      </c>
      <c r="M218" s="52"/>
      <c r="N218" s="52"/>
      <c r="O218" s="7"/>
      <c r="P218" s="7"/>
      <c r="Q218" s="7" t="s">
        <v>88</v>
      </c>
      <c r="R218" s="7" t="s">
        <v>88</v>
      </c>
      <c r="S218" s="7" t="s">
        <v>88</v>
      </c>
      <c r="W218" s="51"/>
      <c r="AA218" s="29" t="s">
        <v>88</v>
      </c>
      <c r="AD218" s="29" t="s">
        <v>88</v>
      </c>
      <c r="AE218" s="29" t="s">
        <v>88</v>
      </c>
      <c r="AF218" s="29" t="s">
        <v>88</v>
      </c>
      <c r="AG218" s="29" t="s">
        <v>88</v>
      </c>
      <c r="AH218" s="52"/>
      <c r="AJ218" s="52"/>
      <c r="AK218" s="7"/>
      <c r="AL218" s="29" t="s">
        <v>88</v>
      </c>
      <c r="AM218" s="29" t="s">
        <v>88</v>
      </c>
      <c r="AN218" s="29" t="s">
        <v>88</v>
      </c>
      <c r="AO218" s="29"/>
      <c r="AP218" s="29"/>
    </row>
    <row r="219" spans="1:42" ht="15.75">
      <c r="A219" s="71" t="s">
        <v>148</v>
      </c>
      <c r="B219" s="53"/>
      <c r="C219" s="7"/>
      <c r="D219" s="7"/>
      <c r="E219" s="7"/>
      <c r="F219" s="7">
        <v>12</v>
      </c>
      <c r="G219" s="7"/>
      <c r="H219" s="7"/>
      <c r="I219" s="7">
        <v>12</v>
      </c>
      <c r="J219" s="7">
        <v>12</v>
      </c>
      <c r="K219" s="29"/>
      <c r="L219" s="7">
        <v>12</v>
      </c>
      <c r="M219" s="52"/>
      <c r="N219" s="52"/>
      <c r="O219" s="7"/>
      <c r="P219" s="7"/>
      <c r="Q219" s="7">
        <v>4</v>
      </c>
      <c r="R219" s="7">
        <v>12</v>
      </c>
      <c r="S219" s="7">
        <v>4</v>
      </c>
      <c r="W219" s="53"/>
      <c r="AA219" s="29">
        <v>12</v>
      </c>
      <c r="AD219" s="29">
        <v>12</v>
      </c>
      <c r="AE219" s="29">
        <v>12</v>
      </c>
      <c r="AF219" s="29" t="s">
        <v>301</v>
      </c>
      <c r="AG219" s="29">
        <v>12</v>
      </c>
      <c r="AH219" s="52"/>
      <c r="AJ219" s="52"/>
      <c r="AK219" s="7"/>
      <c r="AL219" s="29">
        <v>3</v>
      </c>
      <c r="AM219" s="29">
        <v>12</v>
      </c>
      <c r="AN219" s="29">
        <v>3</v>
      </c>
      <c r="AO219" s="29"/>
      <c r="AP219" s="29"/>
    </row>
    <row r="220" spans="1:42" ht="15.75">
      <c r="A220" s="71" t="s">
        <v>150</v>
      </c>
      <c r="C220" s="7"/>
      <c r="D220" s="7"/>
      <c r="E220" s="7"/>
      <c r="F220" s="7">
        <v>12</v>
      </c>
      <c r="G220" s="7"/>
      <c r="H220" s="7"/>
      <c r="I220" s="7">
        <v>12</v>
      </c>
      <c r="J220" s="7">
        <v>12</v>
      </c>
      <c r="K220" s="29"/>
      <c r="L220" s="7">
        <v>12</v>
      </c>
      <c r="M220" s="52"/>
      <c r="N220" s="52"/>
      <c r="O220" s="7"/>
      <c r="P220" s="7"/>
      <c r="Q220" s="7">
        <v>4</v>
      </c>
      <c r="R220" s="7">
        <v>12</v>
      </c>
      <c r="S220" s="7">
        <v>4</v>
      </c>
      <c r="W220" s="51"/>
      <c r="AA220" s="29">
        <v>12</v>
      </c>
      <c r="AD220" s="29">
        <v>12</v>
      </c>
      <c r="AE220" s="29">
        <v>12</v>
      </c>
      <c r="AF220" s="29">
        <v>13</v>
      </c>
      <c r="AG220" s="29">
        <v>12</v>
      </c>
      <c r="AH220" s="52"/>
      <c r="AJ220" s="52"/>
      <c r="AK220" s="7"/>
      <c r="AL220" s="29">
        <v>3</v>
      </c>
      <c r="AM220" s="29">
        <v>12</v>
      </c>
      <c r="AN220" s="29">
        <v>3</v>
      </c>
      <c r="AO220" s="29"/>
      <c r="AP220" s="29"/>
    </row>
    <row r="221" spans="1:42" ht="15.75">
      <c r="A221" s="71" t="s">
        <v>152</v>
      </c>
      <c r="B221" s="53"/>
      <c r="C221" s="7"/>
      <c r="D221" s="7"/>
      <c r="E221" s="7"/>
      <c r="F221" s="7">
        <v>1</v>
      </c>
      <c r="G221" s="7"/>
      <c r="H221" s="7"/>
      <c r="I221" s="7">
        <v>1</v>
      </c>
      <c r="J221" s="7">
        <v>1</v>
      </c>
      <c r="K221" s="29"/>
      <c r="L221" s="7">
        <v>1</v>
      </c>
      <c r="M221" s="52"/>
      <c r="N221" s="52"/>
      <c r="O221" s="7"/>
      <c r="P221" s="7"/>
      <c r="Q221" s="7">
        <v>1</v>
      </c>
      <c r="R221" s="7">
        <v>1</v>
      </c>
      <c r="S221" s="7">
        <v>1</v>
      </c>
      <c r="W221" s="53"/>
      <c r="AA221" s="29">
        <v>1</v>
      </c>
      <c r="AD221" s="29">
        <v>1</v>
      </c>
      <c r="AE221" s="29">
        <v>1</v>
      </c>
      <c r="AF221" s="29">
        <v>1</v>
      </c>
      <c r="AG221" s="29">
        <v>1</v>
      </c>
      <c r="AH221" s="52"/>
      <c r="AJ221" s="52"/>
      <c r="AK221" s="7"/>
      <c r="AL221" s="29">
        <v>1</v>
      </c>
      <c r="AM221" s="29">
        <v>1</v>
      </c>
      <c r="AN221" s="29">
        <v>1</v>
      </c>
      <c r="AO221" s="29"/>
      <c r="AP221" s="29"/>
    </row>
    <row r="222" spans="1:42" ht="15.75">
      <c r="A222" s="71" t="s">
        <v>154</v>
      </c>
      <c r="B222" s="53"/>
      <c r="C222" s="7"/>
      <c r="D222" s="7"/>
      <c r="E222" s="7"/>
      <c r="F222" s="7">
        <v>1</v>
      </c>
      <c r="G222" s="7"/>
      <c r="H222" s="7"/>
      <c r="I222" s="7">
        <v>1</v>
      </c>
      <c r="J222" s="7">
        <v>1</v>
      </c>
      <c r="K222" s="29"/>
      <c r="L222" s="7">
        <v>1</v>
      </c>
      <c r="M222" s="52"/>
      <c r="N222" s="52"/>
      <c r="O222" s="7"/>
      <c r="P222" s="7"/>
      <c r="Q222" s="7">
        <v>1</v>
      </c>
      <c r="R222" s="7">
        <v>1</v>
      </c>
      <c r="S222" s="7">
        <v>1</v>
      </c>
      <c r="W222" s="53"/>
      <c r="AA222" s="29">
        <v>1</v>
      </c>
      <c r="AD222" s="29">
        <v>1</v>
      </c>
      <c r="AE222" s="29">
        <v>1</v>
      </c>
      <c r="AF222" s="29">
        <v>1</v>
      </c>
      <c r="AG222" s="29">
        <v>1</v>
      </c>
      <c r="AH222" s="52"/>
      <c r="AJ222" s="52"/>
      <c r="AK222" s="7"/>
      <c r="AL222" s="29">
        <v>1</v>
      </c>
      <c r="AM222" s="29">
        <v>1</v>
      </c>
      <c r="AN222" s="29">
        <v>1</v>
      </c>
      <c r="AO222" s="29"/>
      <c r="AP222" s="29"/>
    </row>
    <row r="223" spans="1:42" ht="15.75">
      <c r="A223" s="71" t="s">
        <v>155</v>
      </c>
      <c r="C223" s="7"/>
      <c r="D223" s="7"/>
      <c r="E223" s="7"/>
      <c r="F223" s="7">
        <v>4</v>
      </c>
      <c r="G223" s="7"/>
      <c r="H223" s="7"/>
      <c r="I223" s="7">
        <v>4</v>
      </c>
      <c r="J223" s="7">
        <v>4</v>
      </c>
      <c r="K223" s="29"/>
      <c r="L223" s="7">
        <v>4</v>
      </c>
      <c r="M223" s="52"/>
      <c r="N223" s="52"/>
      <c r="O223" s="7"/>
      <c r="P223" s="7"/>
      <c r="Q223" s="7">
        <v>1</v>
      </c>
      <c r="R223" s="7">
        <v>4</v>
      </c>
      <c r="S223" s="7">
        <v>1</v>
      </c>
      <c r="W223" s="51"/>
      <c r="AA223" s="29">
        <v>4</v>
      </c>
      <c r="AD223" s="29">
        <v>4</v>
      </c>
      <c r="AE223" s="29">
        <v>4</v>
      </c>
      <c r="AF223" s="29">
        <v>1</v>
      </c>
      <c r="AG223" s="29">
        <v>4</v>
      </c>
      <c r="AH223" s="52"/>
      <c r="AJ223" s="52"/>
      <c r="AK223" s="7"/>
      <c r="AL223" s="29">
        <v>1</v>
      </c>
      <c r="AM223" s="29">
        <v>4</v>
      </c>
      <c r="AN223" s="29">
        <v>1</v>
      </c>
      <c r="AO223" s="29"/>
      <c r="AP223" s="29"/>
    </row>
    <row r="224" spans="1:42" ht="15.75">
      <c r="A224" s="71" t="s">
        <v>302</v>
      </c>
      <c r="B224" s="71"/>
      <c r="C224" s="7"/>
      <c r="D224" s="7"/>
      <c r="E224" s="7"/>
      <c r="F224" s="7">
        <v>2</v>
      </c>
      <c r="G224" s="7"/>
      <c r="H224" s="7"/>
      <c r="I224" s="7">
        <v>2</v>
      </c>
      <c r="J224" s="7">
        <v>2</v>
      </c>
      <c r="K224" s="29"/>
      <c r="L224" s="7">
        <v>2</v>
      </c>
      <c r="M224" s="52"/>
      <c r="N224" s="52"/>
      <c r="O224" s="7"/>
      <c r="P224" s="7"/>
      <c r="Q224" s="7">
        <v>0</v>
      </c>
      <c r="R224" s="7">
        <v>2</v>
      </c>
      <c r="S224" s="7">
        <v>0</v>
      </c>
      <c r="W224" s="71"/>
      <c r="AA224" s="29">
        <v>2</v>
      </c>
      <c r="AD224" s="29">
        <v>2</v>
      </c>
      <c r="AE224" s="29">
        <v>2</v>
      </c>
      <c r="AF224" s="29">
        <v>0</v>
      </c>
      <c r="AG224" s="29">
        <v>2</v>
      </c>
      <c r="AH224" s="52"/>
      <c r="AJ224" s="52"/>
      <c r="AK224" s="7"/>
      <c r="AL224" s="29">
        <v>0</v>
      </c>
      <c r="AM224" s="29">
        <v>2</v>
      </c>
      <c r="AN224" s="29">
        <v>0</v>
      </c>
      <c r="AO224" s="29"/>
      <c r="AP224" s="29"/>
    </row>
    <row r="225" spans="1:42" ht="15.75">
      <c r="A225" s="89" t="s">
        <v>158</v>
      </c>
      <c r="B225" s="68"/>
      <c r="C225" s="96"/>
      <c r="D225" s="96"/>
      <c r="E225" s="96"/>
      <c r="F225" s="96"/>
      <c r="G225" s="96"/>
      <c r="H225" s="96"/>
      <c r="I225" s="96"/>
      <c r="J225" s="96"/>
      <c r="K225" s="70"/>
      <c r="L225" s="96"/>
      <c r="M225" s="52"/>
      <c r="N225" s="52"/>
      <c r="O225" s="96"/>
      <c r="P225" s="96"/>
      <c r="Q225" s="96"/>
      <c r="R225" s="96"/>
      <c r="S225" s="96"/>
      <c r="T225" s="70"/>
      <c r="U225" s="70"/>
      <c r="V225" s="70"/>
      <c r="W225" s="68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52"/>
      <c r="AJ225" s="52"/>
      <c r="AK225" s="96"/>
      <c r="AL225" s="70"/>
      <c r="AM225" s="70"/>
      <c r="AN225" s="70"/>
      <c r="AO225" s="70"/>
      <c r="AP225" s="70"/>
    </row>
    <row r="226" spans="1:42" ht="15.75">
      <c r="A226" s="71" t="s">
        <v>159</v>
      </c>
      <c r="C226" s="7"/>
      <c r="D226" s="7"/>
      <c r="E226" s="7"/>
      <c r="F226" s="7" t="s">
        <v>160</v>
      </c>
      <c r="G226" s="7"/>
      <c r="H226" s="7"/>
      <c r="I226" s="7" t="s">
        <v>160</v>
      </c>
      <c r="J226" s="7" t="s">
        <v>160</v>
      </c>
      <c r="K226" s="29"/>
      <c r="L226" s="7" t="s">
        <v>160</v>
      </c>
      <c r="M226" s="52"/>
      <c r="N226" s="52"/>
      <c r="O226" s="7"/>
      <c r="P226" s="7"/>
      <c r="Q226" s="7" t="s">
        <v>160</v>
      </c>
      <c r="R226" s="7" t="s">
        <v>160</v>
      </c>
      <c r="S226" s="7" t="s">
        <v>160</v>
      </c>
      <c r="W226" s="51"/>
      <c r="AA226" s="29" t="s">
        <v>160</v>
      </c>
      <c r="AD226" s="29" t="s">
        <v>160</v>
      </c>
      <c r="AE226" s="29" t="s">
        <v>160</v>
      </c>
      <c r="AF226" s="29" t="s">
        <v>160</v>
      </c>
      <c r="AG226" s="29" t="s">
        <v>160</v>
      </c>
      <c r="AH226" s="52"/>
      <c r="AJ226" s="52"/>
      <c r="AK226" s="7"/>
      <c r="AL226" s="29" t="s">
        <v>160</v>
      </c>
      <c r="AM226" s="29" t="s">
        <v>160</v>
      </c>
      <c r="AN226" s="29" t="s">
        <v>160</v>
      </c>
      <c r="AO226" s="29"/>
      <c r="AP226" s="29"/>
    </row>
    <row r="227" spans="1:42" ht="15.75">
      <c r="A227" s="71" t="s">
        <v>163</v>
      </c>
      <c r="C227" s="7"/>
      <c r="D227" s="7"/>
      <c r="E227" s="7"/>
      <c r="F227" s="7" t="s">
        <v>88</v>
      </c>
      <c r="G227" s="7"/>
      <c r="H227" s="7"/>
      <c r="I227" s="7" t="s">
        <v>88</v>
      </c>
      <c r="J227" s="7" t="s">
        <v>88</v>
      </c>
      <c r="K227" s="29"/>
      <c r="L227" s="7" t="s">
        <v>88</v>
      </c>
      <c r="M227" s="52"/>
      <c r="N227" s="52"/>
      <c r="O227" s="7"/>
      <c r="P227" s="7"/>
      <c r="Q227" s="7" t="s">
        <v>88</v>
      </c>
      <c r="R227" s="7" t="s">
        <v>88</v>
      </c>
      <c r="S227" s="7" t="s">
        <v>88</v>
      </c>
      <c r="W227" s="51"/>
      <c r="AA227" s="29" t="s">
        <v>88</v>
      </c>
      <c r="AD227" s="29" t="s">
        <v>88</v>
      </c>
      <c r="AE227" s="29" t="s">
        <v>88</v>
      </c>
      <c r="AF227" s="29" t="s">
        <v>88</v>
      </c>
      <c r="AG227" s="29" t="s">
        <v>88</v>
      </c>
      <c r="AH227" s="52"/>
      <c r="AJ227" s="52"/>
      <c r="AK227" s="7"/>
      <c r="AL227" s="29" t="s">
        <v>88</v>
      </c>
      <c r="AM227" s="29" t="s">
        <v>88</v>
      </c>
      <c r="AN227" s="29" t="s">
        <v>88</v>
      </c>
      <c r="AO227" s="29"/>
      <c r="AP227" s="29"/>
    </row>
    <row r="228" spans="1:42" ht="15.75">
      <c r="A228" s="71" t="s">
        <v>165</v>
      </c>
      <c r="B228" s="71"/>
      <c r="C228" s="7"/>
      <c r="D228" s="7"/>
      <c r="E228" s="7"/>
      <c r="F228" s="7">
        <f>F203</f>
        <v>1048576</v>
      </c>
      <c r="G228" s="7"/>
      <c r="H228" s="7"/>
      <c r="I228" s="7">
        <v>1048576</v>
      </c>
      <c r="J228" s="7">
        <v>1048576</v>
      </c>
      <c r="K228" s="29"/>
      <c r="L228" s="7">
        <v>1048576</v>
      </c>
      <c r="M228" s="52"/>
      <c r="N228" s="52"/>
      <c r="O228" s="7"/>
      <c r="P228" s="7"/>
      <c r="Q228" s="7">
        <v>1048576</v>
      </c>
      <c r="R228" s="7">
        <v>1048576</v>
      </c>
      <c r="S228" s="7">
        <v>1048576</v>
      </c>
      <c r="W228" s="71"/>
      <c r="AA228" s="29">
        <f>1024*1024</f>
        <v>1048576</v>
      </c>
      <c r="AD228" s="29">
        <f>1024*1024</f>
        <v>1048576</v>
      </c>
      <c r="AE228" s="29">
        <f>1024*1024</f>
        <v>1048576</v>
      </c>
      <c r="AF228" s="29">
        <f>1024*1024</f>
        <v>1048576</v>
      </c>
      <c r="AG228" s="29">
        <f>1024*1024</f>
        <v>1048576</v>
      </c>
      <c r="AH228" s="52"/>
      <c r="AJ228" s="52"/>
      <c r="AK228" s="7"/>
      <c r="AL228" s="29">
        <f>1024*1024</f>
        <v>1048576</v>
      </c>
      <c r="AM228" s="29">
        <f>1024*1024</f>
        <v>1048576</v>
      </c>
      <c r="AN228" s="29">
        <f>1024*1024</f>
        <v>1048576</v>
      </c>
      <c r="AO228" s="29"/>
      <c r="AP228" s="29"/>
    </row>
    <row r="229" spans="1:42" ht="15.75">
      <c r="A229" s="71"/>
      <c r="B229" s="71"/>
      <c r="C229" s="108"/>
      <c r="D229" s="108"/>
      <c r="E229" s="108"/>
      <c r="F229" s="108"/>
      <c r="G229" s="108"/>
      <c r="H229" s="108"/>
      <c r="I229" s="108"/>
      <c r="J229" s="108"/>
      <c r="K229" s="90"/>
      <c r="L229" s="108"/>
      <c r="M229" s="52"/>
      <c r="N229" s="52"/>
      <c r="O229" s="108"/>
      <c r="P229" s="108"/>
      <c r="Q229" s="108"/>
      <c r="R229" s="108"/>
      <c r="S229" s="108"/>
      <c r="T229" s="90"/>
      <c r="U229" s="90"/>
      <c r="V229" s="90"/>
      <c r="W229" s="71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52"/>
      <c r="AJ229" s="52"/>
      <c r="AK229" s="108"/>
      <c r="AL229" s="90"/>
      <c r="AM229" s="90"/>
      <c r="AN229" s="90"/>
      <c r="AO229" s="90"/>
      <c r="AP229" s="90"/>
    </row>
    <row r="230" spans="1:42" ht="15.75">
      <c r="A230" s="71" t="s">
        <v>166</v>
      </c>
      <c r="B230" s="71"/>
      <c r="C230" s="7"/>
      <c r="D230" s="7"/>
      <c r="E230" s="7"/>
      <c r="F230" s="7">
        <v>1926687</v>
      </c>
      <c r="G230" s="7"/>
      <c r="H230" s="7"/>
      <c r="I230" s="7">
        <f xml:space="preserve"> 2*931328+46605</f>
        <v>1909261</v>
      </c>
      <c r="J230" s="7">
        <f xml:space="preserve"> 2*931328+47928</f>
        <v>1910584</v>
      </c>
      <c r="K230" s="7"/>
      <c r="L230" s="7">
        <f xml:space="preserve"> 2*931328+47280</f>
        <v>1909936</v>
      </c>
      <c r="M230" s="52"/>
      <c r="N230" s="52"/>
      <c r="O230" s="7"/>
      <c r="P230" s="7"/>
      <c r="Q230" s="7">
        <f>Q205</f>
        <v>977855</v>
      </c>
      <c r="R230" s="7">
        <f xml:space="preserve"> 2*931328+46527</f>
        <v>1909183</v>
      </c>
      <c r="S230" s="7">
        <f>S205</f>
        <v>977933</v>
      </c>
      <c r="W230" s="71"/>
      <c r="AA230" s="29">
        <f>2*931328+216667+48155</f>
        <v>2127478</v>
      </c>
      <c r="AD230" s="29">
        <f>2*931328+216667+48155</f>
        <v>2127478</v>
      </c>
      <c r="AE230" s="29">
        <f>2*931328+216667+50804</f>
        <v>2130127</v>
      </c>
      <c r="AF230" s="29">
        <f>AF205</f>
        <v>955416</v>
      </c>
      <c r="AG230" s="29">
        <f>2*931328+216667+47280</f>
        <v>2126603</v>
      </c>
      <c r="AH230" s="52"/>
      <c r="AJ230" s="52"/>
      <c r="AK230" s="7"/>
      <c r="AL230" s="29">
        <f>931328+46527</f>
        <v>977855</v>
      </c>
      <c r="AM230" s="29">
        <f>2*931328+46527</f>
        <v>1909183</v>
      </c>
      <c r="AN230" s="29">
        <f>AN205</f>
        <v>977933</v>
      </c>
      <c r="AO230" s="29"/>
      <c r="AP230" s="29"/>
    </row>
    <row r="231" spans="1:42" ht="15.75">
      <c r="A231" s="91" t="s">
        <v>83</v>
      </c>
      <c r="C231" s="28"/>
      <c r="D231" s="7"/>
      <c r="E231" s="7"/>
      <c r="F231" s="7" t="s">
        <v>88</v>
      </c>
      <c r="G231" s="7"/>
      <c r="H231" s="7"/>
      <c r="I231" s="7" t="s">
        <v>88</v>
      </c>
      <c r="J231" s="7" t="s">
        <v>88</v>
      </c>
      <c r="K231" s="29"/>
      <c r="L231" s="7" t="s">
        <v>88</v>
      </c>
      <c r="M231" s="52"/>
      <c r="N231" s="52"/>
      <c r="O231" s="28"/>
      <c r="P231" s="7"/>
      <c r="Q231" s="7" t="s">
        <v>88</v>
      </c>
      <c r="R231" s="7" t="s">
        <v>88</v>
      </c>
      <c r="S231" s="7" t="s">
        <v>88</v>
      </c>
      <c r="W231" s="51"/>
      <c r="X231" s="85"/>
      <c r="AA231" s="29" t="s">
        <v>88</v>
      </c>
      <c r="AD231" s="29" t="s">
        <v>88</v>
      </c>
      <c r="AE231" s="29" t="s">
        <v>88</v>
      </c>
      <c r="AF231" s="29" t="s">
        <v>88</v>
      </c>
      <c r="AG231" s="29" t="s">
        <v>88</v>
      </c>
      <c r="AH231" s="52"/>
      <c r="AJ231" s="52"/>
      <c r="AK231" s="7"/>
      <c r="AL231" s="29" t="s">
        <v>88</v>
      </c>
      <c r="AM231" s="29" t="s">
        <v>88</v>
      </c>
      <c r="AN231" s="29" t="s">
        <v>88</v>
      </c>
      <c r="AO231" s="29"/>
      <c r="AP231" s="29"/>
    </row>
    <row r="232" spans="1:42" ht="15.75">
      <c r="A232" s="91" t="s">
        <v>168</v>
      </c>
      <c r="C232" s="29"/>
      <c r="D232" s="29"/>
      <c r="E232" s="29"/>
      <c r="F232" s="29" t="s">
        <v>89</v>
      </c>
      <c r="G232" s="29"/>
      <c r="H232" s="29"/>
      <c r="I232" s="29" t="s">
        <v>89</v>
      </c>
      <c r="J232" s="29" t="s">
        <v>89</v>
      </c>
      <c r="K232" s="29"/>
      <c r="L232" s="29" t="s">
        <v>89</v>
      </c>
      <c r="M232" s="52"/>
      <c r="N232" s="52"/>
      <c r="O232" s="92"/>
      <c r="P232" s="52"/>
      <c r="Q232" s="92" t="s">
        <v>303</v>
      </c>
      <c r="R232" s="29" t="s">
        <v>89</v>
      </c>
      <c r="S232" s="92" t="s">
        <v>303</v>
      </c>
      <c r="W232" s="51"/>
      <c r="X232" s="85"/>
      <c r="AA232" s="29" t="s">
        <v>89</v>
      </c>
      <c r="AD232" s="29" t="s">
        <v>89</v>
      </c>
      <c r="AE232" s="29" t="s">
        <v>89</v>
      </c>
      <c r="AF232" s="29" t="s">
        <v>303</v>
      </c>
      <c r="AG232" s="29" t="s">
        <v>89</v>
      </c>
      <c r="AH232" s="52"/>
      <c r="AJ232" s="52"/>
      <c r="AK232" s="52"/>
      <c r="AL232" s="29" t="s">
        <v>303</v>
      </c>
      <c r="AM232" s="29" t="s">
        <v>89</v>
      </c>
      <c r="AN232" s="29" t="s">
        <v>303</v>
      </c>
      <c r="AO232" s="29"/>
      <c r="AP232" s="29"/>
    </row>
    <row r="233" spans="1:42" ht="31.5">
      <c r="A233" s="91" t="s">
        <v>170</v>
      </c>
      <c r="C233" s="28"/>
      <c r="D233" s="7"/>
      <c r="E233" s="7"/>
      <c r="F233" s="7"/>
      <c r="G233" s="7"/>
      <c r="H233" s="7"/>
      <c r="I233" s="7"/>
      <c r="J233" s="7"/>
      <c r="K233" s="29"/>
      <c r="L233" s="7"/>
      <c r="M233" s="52"/>
      <c r="N233" s="52"/>
      <c r="O233" s="28"/>
      <c r="P233" s="7"/>
      <c r="Q233" s="7"/>
      <c r="R233" s="7"/>
      <c r="S233" s="7"/>
      <c r="W233" s="51"/>
      <c r="X233" s="92"/>
      <c r="AE233" s="29"/>
      <c r="AF233" s="29">
        <v>0</v>
      </c>
      <c r="AG233" s="29"/>
      <c r="AH233" s="52"/>
      <c r="AJ233" s="52"/>
      <c r="AK233" s="7"/>
      <c r="AL233" s="29"/>
      <c r="AM233" s="29"/>
      <c r="AN233" s="29"/>
      <c r="AO233" s="29"/>
      <c r="AP233" s="29"/>
    </row>
    <row r="234" spans="1:42" ht="31.5">
      <c r="A234" s="91" t="s">
        <v>305</v>
      </c>
      <c r="C234" s="7"/>
      <c r="D234" s="7"/>
      <c r="E234" s="7"/>
      <c r="F234" s="7"/>
      <c r="G234" s="7"/>
      <c r="H234" s="7"/>
      <c r="I234" s="7"/>
      <c r="J234" s="7"/>
      <c r="K234" s="29"/>
      <c r="L234" s="7"/>
      <c r="M234" s="52"/>
      <c r="N234" s="52"/>
      <c r="O234" s="7"/>
      <c r="P234" s="7"/>
      <c r="Q234" s="7"/>
      <c r="R234" s="7"/>
      <c r="S234" s="7"/>
      <c r="W234" s="51"/>
      <c r="AE234" s="29"/>
      <c r="AF234" s="29"/>
      <c r="AG234" s="29"/>
      <c r="AH234" s="52"/>
      <c r="AJ234" s="52"/>
      <c r="AK234" s="7"/>
      <c r="AL234" s="29"/>
      <c r="AM234" s="29"/>
      <c r="AN234" s="29"/>
      <c r="AO234" s="29"/>
      <c r="AP234" s="29"/>
    </row>
    <row r="235" spans="1:42" ht="31.5">
      <c r="A235" s="91" t="s">
        <v>306</v>
      </c>
      <c r="C235" s="7"/>
      <c r="D235" s="7"/>
      <c r="E235" s="7"/>
      <c r="F235" s="7"/>
      <c r="G235" s="7"/>
      <c r="H235" s="7"/>
      <c r="I235" s="7"/>
      <c r="J235" s="7"/>
      <c r="K235" s="29"/>
      <c r="L235" s="7"/>
      <c r="M235" s="52"/>
      <c r="N235" s="52"/>
      <c r="O235" s="7"/>
      <c r="P235" s="7"/>
      <c r="Q235" s="7"/>
      <c r="R235" s="7"/>
      <c r="S235" s="7"/>
      <c r="W235" s="51"/>
      <c r="AE235" s="29"/>
      <c r="AF235" s="29"/>
      <c r="AG235" s="29"/>
      <c r="AH235" s="52"/>
      <c r="AJ235" s="52"/>
      <c r="AK235" s="7"/>
      <c r="AL235" s="29"/>
      <c r="AM235" s="29"/>
      <c r="AN235" s="29"/>
      <c r="AO235" s="29"/>
      <c r="AP235" s="29"/>
    </row>
    <row r="236" spans="1:42" ht="15.75">
      <c r="A236" s="68" t="s">
        <v>317</v>
      </c>
      <c r="B236" s="68"/>
      <c r="C236" s="96"/>
      <c r="D236" s="96"/>
      <c r="E236" s="96"/>
      <c r="F236" s="96"/>
      <c r="G236" s="96"/>
      <c r="H236" s="96"/>
      <c r="I236" s="96"/>
      <c r="J236" s="96"/>
      <c r="K236" s="70"/>
      <c r="L236" s="96"/>
      <c r="M236" s="52"/>
      <c r="N236" s="52"/>
      <c r="O236" s="96"/>
      <c r="P236" s="96"/>
      <c r="Q236" s="96"/>
      <c r="R236" s="96"/>
      <c r="S236" s="96"/>
      <c r="T236" s="70"/>
      <c r="U236" s="70"/>
      <c r="V236" s="70"/>
      <c r="W236" s="68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52"/>
      <c r="AJ236" s="52"/>
      <c r="AK236" s="96"/>
      <c r="AL236" s="70"/>
      <c r="AM236" s="70"/>
      <c r="AN236" s="70"/>
      <c r="AO236" s="70"/>
      <c r="AP236" s="70"/>
    </row>
    <row r="237" spans="1:42" ht="15.75">
      <c r="A237" s="86" t="s">
        <v>136</v>
      </c>
      <c r="C237" s="7"/>
      <c r="D237" s="7"/>
      <c r="E237" s="7"/>
      <c r="F237" s="7">
        <v>7</v>
      </c>
      <c r="G237" s="7"/>
      <c r="H237" s="7"/>
      <c r="I237" s="7">
        <v>7</v>
      </c>
      <c r="J237" s="7">
        <v>7</v>
      </c>
      <c r="K237" s="29"/>
      <c r="L237" s="7">
        <v>7</v>
      </c>
      <c r="M237" s="52"/>
      <c r="N237" s="52"/>
      <c r="O237" s="7"/>
      <c r="P237" s="7"/>
      <c r="Q237" s="7">
        <v>8</v>
      </c>
      <c r="R237" s="7">
        <v>7</v>
      </c>
      <c r="S237" s="7">
        <v>8</v>
      </c>
      <c r="W237" s="51"/>
      <c r="AA237" s="29">
        <v>7</v>
      </c>
      <c r="AD237" s="29">
        <v>7</v>
      </c>
      <c r="AE237" s="29">
        <v>7</v>
      </c>
      <c r="AF237" s="29"/>
      <c r="AG237" s="29">
        <v>7</v>
      </c>
      <c r="AH237" s="52"/>
      <c r="AJ237" s="52"/>
      <c r="AK237" s="7"/>
      <c r="AL237" s="29">
        <v>7</v>
      </c>
      <c r="AM237" s="29">
        <v>7</v>
      </c>
      <c r="AN237" s="29">
        <v>7</v>
      </c>
      <c r="AO237" s="29"/>
      <c r="AP237" s="29"/>
    </row>
    <row r="238" spans="1:42" ht="15.75">
      <c r="A238" s="71" t="s">
        <v>300</v>
      </c>
      <c r="B238" s="86"/>
      <c r="C238" s="7"/>
      <c r="D238" s="7"/>
      <c r="E238" s="7"/>
      <c r="F238" s="7">
        <v>1</v>
      </c>
      <c r="G238" s="7"/>
      <c r="H238" s="7"/>
      <c r="I238" s="7">
        <v>1</v>
      </c>
      <c r="J238" s="7">
        <v>1</v>
      </c>
      <c r="K238" s="29"/>
      <c r="L238" s="7">
        <v>1</v>
      </c>
      <c r="M238" s="52"/>
      <c r="N238" s="52"/>
      <c r="O238" s="7"/>
      <c r="P238" s="7"/>
      <c r="Q238" s="7">
        <v>1</v>
      </c>
      <c r="R238" s="7">
        <v>1</v>
      </c>
      <c r="S238" s="7">
        <v>1</v>
      </c>
      <c r="W238" s="86"/>
      <c r="AA238" s="29">
        <v>1</v>
      </c>
      <c r="AD238" s="29">
        <v>1</v>
      </c>
      <c r="AE238" s="29">
        <v>1</v>
      </c>
      <c r="AF238" s="29"/>
      <c r="AG238" s="29">
        <v>1</v>
      </c>
      <c r="AH238" s="52"/>
      <c r="AJ238" s="52"/>
      <c r="AK238" s="7"/>
      <c r="AL238" s="29">
        <v>1</v>
      </c>
      <c r="AM238" s="29">
        <v>1</v>
      </c>
      <c r="AN238" s="29">
        <v>1</v>
      </c>
      <c r="AO238" s="29"/>
      <c r="AP238" s="29"/>
    </row>
    <row r="239" spans="1:42" ht="15.75">
      <c r="A239" s="71" t="s">
        <v>137</v>
      </c>
      <c r="C239" s="7"/>
      <c r="D239" s="7"/>
      <c r="E239" s="7"/>
      <c r="F239" s="7">
        <v>1</v>
      </c>
      <c r="G239" s="7"/>
      <c r="H239" s="7"/>
      <c r="I239" s="7">
        <v>1</v>
      </c>
      <c r="J239" s="7">
        <v>1</v>
      </c>
      <c r="K239" s="29"/>
      <c r="L239" s="7">
        <v>1</v>
      </c>
      <c r="M239" s="52"/>
      <c r="N239" s="52"/>
      <c r="O239" s="7"/>
      <c r="P239" s="7"/>
      <c r="Q239" s="7">
        <v>0</v>
      </c>
      <c r="R239" s="7">
        <v>1</v>
      </c>
      <c r="S239" s="7">
        <v>0</v>
      </c>
      <c r="W239" s="51"/>
      <c r="AA239" s="29">
        <v>1</v>
      </c>
      <c r="AD239" s="29">
        <v>1</v>
      </c>
      <c r="AE239" s="29">
        <v>1</v>
      </c>
      <c r="AF239" s="29"/>
      <c r="AG239" s="29">
        <v>1</v>
      </c>
      <c r="AH239" s="52"/>
      <c r="AJ239" s="52"/>
      <c r="AK239" s="7"/>
      <c r="AL239" s="29">
        <v>1</v>
      </c>
      <c r="AM239" s="29">
        <v>1</v>
      </c>
      <c r="AN239" s="29">
        <v>1</v>
      </c>
      <c r="AO239" s="29"/>
      <c r="AP239" s="29"/>
    </row>
    <row r="240" spans="1:42" ht="15.75">
      <c r="A240" s="71" t="s">
        <v>138</v>
      </c>
      <c r="C240" s="7"/>
      <c r="D240" s="7"/>
      <c r="E240" s="7"/>
      <c r="F240" s="7" t="s">
        <v>101</v>
      </c>
      <c r="G240" s="7"/>
      <c r="H240" s="7"/>
      <c r="I240" s="7" t="s">
        <v>101</v>
      </c>
      <c r="J240" s="7" t="s">
        <v>101</v>
      </c>
      <c r="K240" s="29"/>
      <c r="L240" s="7" t="s">
        <v>101</v>
      </c>
      <c r="M240" s="52"/>
      <c r="N240" s="52"/>
      <c r="O240" s="7"/>
      <c r="P240" s="7"/>
      <c r="Q240" s="7" t="s">
        <v>101</v>
      </c>
      <c r="R240" s="7" t="s">
        <v>101</v>
      </c>
      <c r="S240" s="7" t="s">
        <v>101</v>
      </c>
      <c r="W240" s="51"/>
      <c r="AA240" s="29" t="s">
        <v>101</v>
      </c>
      <c r="AD240" s="29" t="s">
        <v>101</v>
      </c>
      <c r="AE240" s="29" t="s">
        <v>101</v>
      </c>
      <c r="AF240" s="29"/>
      <c r="AG240" s="29" t="s">
        <v>101</v>
      </c>
      <c r="AH240" s="52"/>
      <c r="AJ240" s="52"/>
      <c r="AK240" s="7"/>
      <c r="AL240" s="29" t="s">
        <v>101</v>
      </c>
      <c r="AM240" s="29" t="s">
        <v>101</v>
      </c>
      <c r="AN240" s="29" t="s">
        <v>101</v>
      </c>
      <c r="AO240" s="29"/>
      <c r="AP240" s="29"/>
    </row>
    <row r="241" spans="1:42" ht="15.75">
      <c r="A241" s="71" t="s">
        <v>140</v>
      </c>
      <c r="C241" s="34"/>
      <c r="D241" s="107"/>
      <c r="E241" s="107"/>
      <c r="F241" s="107">
        <f>2/3</f>
        <v>0.66666666666666663</v>
      </c>
      <c r="G241" s="107"/>
      <c r="H241" s="107"/>
      <c r="I241" s="107">
        <f>2/3</f>
        <v>0.66666666666666663</v>
      </c>
      <c r="J241" s="107">
        <f>2/3</f>
        <v>0.66666666666666663</v>
      </c>
      <c r="K241" s="88"/>
      <c r="L241" s="107">
        <f>2/3</f>
        <v>0.66666666666666663</v>
      </c>
      <c r="M241" s="52"/>
      <c r="N241" s="52"/>
      <c r="O241" s="34"/>
      <c r="P241" s="107"/>
      <c r="Q241" s="107">
        <f>2/3</f>
        <v>0.66666666666666663</v>
      </c>
      <c r="R241" s="107">
        <f>2/3</f>
        <v>0.66666666666666663</v>
      </c>
      <c r="S241" s="107">
        <f>2/3</f>
        <v>0.66666666666666663</v>
      </c>
      <c r="T241" s="88"/>
      <c r="U241" s="88"/>
      <c r="V241" s="88"/>
      <c r="W241" s="51"/>
      <c r="X241" s="87"/>
      <c r="Y241" s="88"/>
      <c r="Z241" s="88"/>
      <c r="AA241" s="88">
        <f>2/3</f>
        <v>0.66666666666666663</v>
      </c>
      <c r="AB241" s="88"/>
      <c r="AC241" s="88"/>
      <c r="AD241" s="88">
        <f>2/3</f>
        <v>0.66666666666666663</v>
      </c>
      <c r="AE241" s="88">
        <f>2/3</f>
        <v>0.66666666666666663</v>
      </c>
      <c r="AF241" s="88"/>
      <c r="AG241" s="88">
        <f>2/3</f>
        <v>0.66666666666666663</v>
      </c>
      <c r="AH241" s="52"/>
      <c r="AJ241" s="52"/>
      <c r="AK241" s="107"/>
      <c r="AL241" s="88">
        <f>2/3</f>
        <v>0.66666666666666663</v>
      </c>
      <c r="AM241" s="88">
        <f>2/3</f>
        <v>0.66666666666666663</v>
      </c>
      <c r="AN241" s="88">
        <f>2/3</f>
        <v>0.66666666666666663</v>
      </c>
      <c r="AO241" s="88"/>
      <c r="AP241" s="88"/>
    </row>
    <row r="242" spans="1:42" ht="15.75">
      <c r="A242" s="71" t="s">
        <v>146</v>
      </c>
      <c r="C242" s="7"/>
      <c r="D242" s="7"/>
      <c r="E242" s="7"/>
      <c r="F242" s="7">
        <v>16200</v>
      </c>
      <c r="G242" s="7"/>
      <c r="H242" s="7"/>
      <c r="I242" s="7">
        <v>16200</v>
      </c>
      <c r="J242" s="7">
        <v>16200</v>
      </c>
      <c r="K242" s="29"/>
      <c r="L242" s="7">
        <v>16200</v>
      </c>
      <c r="M242" s="52"/>
      <c r="N242" s="52"/>
      <c r="O242" s="7"/>
      <c r="P242" s="7"/>
      <c r="Q242" s="7">
        <v>16200</v>
      </c>
      <c r="R242" s="7">
        <v>16200</v>
      </c>
      <c r="S242" s="7">
        <v>16200</v>
      </c>
      <c r="W242" s="51"/>
      <c r="AA242" s="29">
        <v>16200</v>
      </c>
      <c r="AD242" s="29">
        <v>16200</v>
      </c>
      <c r="AE242" s="29">
        <v>16200</v>
      </c>
      <c r="AF242" s="29"/>
      <c r="AG242" s="29">
        <v>16200</v>
      </c>
      <c r="AH242" s="52"/>
      <c r="AJ242" s="52"/>
      <c r="AK242" s="7"/>
      <c r="AL242" s="29">
        <v>16200</v>
      </c>
      <c r="AM242" s="29">
        <v>16200</v>
      </c>
      <c r="AN242" s="29">
        <v>16200</v>
      </c>
      <c r="AO242" s="29"/>
      <c r="AP242" s="29"/>
    </row>
    <row r="243" spans="1:42" ht="15.75">
      <c r="A243" s="71" t="s">
        <v>147</v>
      </c>
      <c r="C243" s="7"/>
      <c r="D243" s="7"/>
      <c r="E243" s="7"/>
      <c r="F243" s="7" t="s">
        <v>88</v>
      </c>
      <c r="G243" s="7"/>
      <c r="H243" s="7"/>
      <c r="I243" s="7" t="s">
        <v>88</v>
      </c>
      <c r="J243" s="7" t="s">
        <v>88</v>
      </c>
      <c r="K243" s="29"/>
      <c r="L243" s="7" t="s">
        <v>88</v>
      </c>
      <c r="M243" s="52"/>
      <c r="N243" s="52"/>
      <c r="O243" s="7"/>
      <c r="P243" s="7"/>
      <c r="Q243" s="7" t="s">
        <v>88</v>
      </c>
      <c r="R243" s="7" t="s">
        <v>88</v>
      </c>
      <c r="S243" s="7" t="s">
        <v>88</v>
      </c>
      <c r="W243" s="51"/>
      <c r="AA243" s="29" t="s">
        <v>88</v>
      </c>
      <c r="AD243" s="29" t="s">
        <v>88</v>
      </c>
      <c r="AE243" s="29" t="s">
        <v>88</v>
      </c>
      <c r="AF243" s="29"/>
      <c r="AG243" s="29" t="s">
        <v>88</v>
      </c>
      <c r="AH243" s="52"/>
      <c r="AJ243" s="52"/>
      <c r="AK243" s="7"/>
      <c r="AL243" s="29" t="s">
        <v>88</v>
      </c>
      <c r="AM243" s="29" t="s">
        <v>88</v>
      </c>
      <c r="AN243" s="29" t="s">
        <v>88</v>
      </c>
      <c r="AO243" s="29"/>
      <c r="AP243" s="29"/>
    </row>
    <row r="244" spans="1:42" ht="15.75">
      <c r="A244" s="71" t="s">
        <v>148</v>
      </c>
      <c r="B244" s="53"/>
      <c r="C244" s="7"/>
      <c r="D244" s="7"/>
      <c r="E244" s="7"/>
      <c r="F244" s="7">
        <v>12</v>
      </c>
      <c r="G244" s="7"/>
      <c r="H244" s="7"/>
      <c r="I244" s="7">
        <v>12</v>
      </c>
      <c r="J244" s="7">
        <v>12</v>
      </c>
      <c r="K244" s="29"/>
      <c r="L244" s="7">
        <v>12</v>
      </c>
      <c r="M244" s="52"/>
      <c r="N244" s="52"/>
      <c r="O244" s="7"/>
      <c r="P244" s="7"/>
      <c r="Q244" s="7">
        <v>3</v>
      </c>
      <c r="R244" s="7">
        <v>12</v>
      </c>
      <c r="S244" s="7">
        <v>3</v>
      </c>
      <c r="W244" s="53"/>
      <c r="AA244" s="29">
        <v>12</v>
      </c>
      <c r="AD244" s="29">
        <v>12</v>
      </c>
      <c r="AE244" s="29">
        <v>12</v>
      </c>
      <c r="AF244" s="29"/>
      <c r="AG244" s="29">
        <v>12</v>
      </c>
      <c r="AH244" s="52"/>
      <c r="AJ244" s="52"/>
      <c r="AK244" s="7"/>
      <c r="AL244" s="29">
        <v>3</v>
      </c>
      <c r="AM244" s="29">
        <v>12</v>
      </c>
      <c r="AN244" s="29">
        <v>3</v>
      </c>
      <c r="AO244" s="29"/>
      <c r="AP244" s="29"/>
    </row>
    <row r="245" spans="1:42" ht="15.75">
      <c r="A245" s="71" t="s">
        <v>150</v>
      </c>
      <c r="C245" s="7"/>
      <c r="D245" s="7"/>
      <c r="E245" s="7"/>
      <c r="F245" s="7">
        <v>12</v>
      </c>
      <c r="G245" s="7"/>
      <c r="H245" s="7"/>
      <c r="I245" s="7">
        <v>12</v>
      </c>
      <c r="J245" s="7">
        <v>12</v>
      </c>
      <c r="K245" s="29"/>
      <c r="L245" s="7">
        <v>12</v>
      </c>
      <c r="M245" s="52"/>
      <c r="N245" s="52"/>
      <c r="O245" s="7"/>
      <c r="P245" s="7"/>
      <c r="Q245" s="7">
        <v>3</v>
      </c>
      <c r="R245" s="7">
        <v>12</v>
      </c>
      <c r="S245" s="7">
        <v>3</v>
      </c>
      <c r="W245" s="51"/>
      <c r="AA245" s="29">
        <v>12</v>
      </c>
      <c r="AD245" s="29">
        <v>12</v>
      </c>
      <c r="AE245" s="29">
        <v>12</v>
      </c>
      <c r="AF245" s="29"/>
      <c r="AG245" s="29">
        <v>12</v>
      </c>
      <c r="AH245" s="52"/>
      <c r="AJ245" s="52"/>
      <c r="AK245" s="7"/>
      <c r="AL245" s="29">
        <v>3</v>
      </c>
      <c r="AM245" s="29">
        <v>12</v>
      </c>
      <c r="AN245" s="29">
        <v>3</v>
      </c>
      <c r="AO245" s="29"/>
      <c r="AP245" s="29"/>
    </row>
    <row r="246" spans="1:42" ht="15.75">
      <c r="A246" s="71" t="s">
        <v>152</v>
      </c>
      <c r="B246" s="53"/>
      <c r="C246" s="7"/>
      <c r="D246" s="7"/>
      <c r="E246" s="7"/>
      <c r="F246" s="7">
        <v>1</v>
      </c>
      <c r="G246" s="7"/>
      <c r="H246" s="7"/>
      <c r="I246" s="7">
        <v>1</v>
      </c>
      <c r="J246" s="7">
        <v>1</v>
      </c>
      <c r="K246" s="29"/>
      <c r="L246" s="7">
        <v>1</v>
      </c>
      <c r="M246" s="52"/>
      <c r="N246" s="52"/>
      <c r="O246" s="7"/>
      <c r="P246" s="7"/>
      <c r="Q246" s="7">
        <v>1</v>
      </c>
      <c r="R246" s="7">
        <v>1</v>
      </c>
      <c r="S246" s="7">
        <v>1</v>
      </c>
      <c r="W246" s="53"/>
      <c r="AA246" s="29">
        <v>1</v>
      </c>
      <c r="AD246" s="29">
        <v>1</v>
      </c>
      <c r="AE246" s="29">
        <v>1</v>
      </c>
      <c r="AF246" s="29"/>
      <c r="AG246" s="29">
        <v>1</v>
      </c>
      <c r="AH246" s="52"/>
      <c r="AJ246" s="52"/>
      <c r="AK246" s="7"/>
      <c r="AL246" s="29">
        <v>1</v>
      </c>
      <c r="AM246" s="29">
        <v>1</v>
      </c>
      <c r="AN246" s="29">
        <v>1</v>
      </c>
      <c r="AO246" s="29"/>
      <c r="AP246" s="29"/>
    </row>
    <row r="247" spans="1:42" ht="15.75">
      <c r="A247" s="71" t="s">
        <v>154</v>
      </c>
      <c r="B247" s="53"/>
      <c r="C247" s="7"/>
      <c r="D247" s="7"/>
      <c r="E247" s="7"/>
      <c r="F247" s="7">
        <v>1</v>
      </c>
      <c r="G247" s="7"/>
      <c r="H247" s="7"/>
      <c r="I247" s="7">
        <v>1</v>
      </c>
      <c r="J247" s="7">
        <v>1</v>
      </c>
      <c r="K247" s="29"/>
      <c r="L247" s="7">
        <v>1</v>
      </c>
      <c r="M247" s="52"/>
      <c r="N247" s="52"/>
      <c r="O247" s="7"/>
      <c r="P247" s="7"/>
      <c r="Q247" s="7">
        <v>1</v>
      </c>
      <c r="R247" s="7">
        <v>1</v>
      </c>
      <c r="S247" s="7">
        <v>1</v>
      </c>
      <c r="W247" s="53"/>
      <c r="AA247" s="29">
        <v>1</v>
      </c>
      <c r="AD247" s="29">
        <v>1</v>
      </c>
      <c r="AE247" s="29">
        <v>1</v>
      </c>
      <c r="AF247" s="29"/>
      <c r="AG247" s="29">
        <v>1</v>
      </c>
      <c r="AH247" s="52"/>
      <c r="AJ247" s="52"/>
      <c r="AK247" s="7"/>
      <c r="AL247" s="29">
        <v>1</v>
      </c>
      <c r="AM247" s="29">
        <v>1</v>
      </c>
      <c r="AN247" s="29">
        <v>1</v>
      </c>
      <c r="AO247" s="29"/>
      <c r="AP247" s="29"/>
    </row>
    <row r="248" spans="1:42" ht="15.75">
      <c r="A248" s="71" t="s">
        <v>155</v>
      </c>
      <c r="C248" s="7"/>
      <c r="D248" s="7"/>
      <c r="E248" s="7"/>
      <c r="F248" s="7">
        <v>4</v>
      </c>
      <c r="G248" s="7"/>
      <c r="H248" s="7"/>
      <c r="I248" s="7">
        <v>4</v>
      </c>
      <c r="J248" s="7">
        <v>4</v>
      </c>
      <c r="K248" s="29"/>
      <c r="L248" s="7">
        <v>4</v>
      </c>
      <c r="M248" s="52"/>
      <c r="N248" s="52"/>
      <c r="O248" s="7"/>
      <c r="P248" s="7"/>
      <c r="Q248" s="7">
        <v>1</v>
      </c>
      <c r="R248" s="7">
        <v>4</v>
      </c>
      <c r="S248" s="7">
        <v>1</v>
      </c>
      <c r="W248" s="51"/>
      <c r="AA248" s="29">
        <v>4</v>
      </c>
      <c r="AD248" s="29">
        <v>4</v>
      </c>
      <c r="AE248" s="29">
        <v>4</v>
      </c>
      <c r="AF248" s="29"/>
      <c r="AG248" s="29">
        <v>4</v>
      </c>
      <c r="AH248" s="52"/>
      <c r="AJ248" s="52"/>
      <c r="AK248" s="7"/>
      <c r="AL248" s="29">
        <v>1</v>
      </c>
      <c r="AM248" s="29">
        <v>4</v>
      </c>
      <c r="AN248" s="29">
        <v>1</v>
      </c>
      <c r="AO248" s="29"/>
      <c r="AP248" s="29"/>
    </row>
    <row r="249" spans="1:42" ht="15.75">
      <c r="A249" s="71" t="s">
        <v>302</v>
      </c>
      <c r="B249" s="71"/>
      <c r="C249" s="7"/>
      <c r="D249" s="7"/>
      <c r="E249" s="7"/>
      <c r="F249" s="7">
        <v>3</v>
      </c>
      <c r="G249" s="7"/>
      <c r="H249" s="7"/>
      <c r="I249" s="7">
        <v>3</v>
      </c>
      <c r="J249" s="7">
        <v>3</v>
      </c>
      <c r="K249" s="29"/>
      <c r="L249" s="7">
        <v>3</v>
      </c>
      <c r="M249" s="52"/>
      <c r="N249" s="52"/>
      <c r="O249" s="7"/>
      <c r="P249" s="7"/>
      <c r="Q249" s="7">
        <v>0</v>
      </c>
      <c r="R249" s="7">
        <v>3</v>
      </c>
      <c r="S249" s="7">
        <v>0</v>
      </c>
      <c r="W249" s="71"/>
      <c r="AA249" s="29">
        <v>3</v>
      </c>
      <c r="AD249" s="29">
        <v>3</v>
      </c>
      <c r="AE249" s="29">
        <v>3</v>
      </c>
      <c r="AF249" s="29"/>
      <c r="AG249" s="29">
        <v>3</v>
      </c>
      <c r="AH249" s="52"/>
      <c r="AJ249" s="52"/>
      <c r="AK249" s="7"/>
      <c r="AL249" s="29">
        <v>0</v>
      </c>
      <c r="AM249" s="29">
        <v>3</v>
      </c>
      <c r="AN249" s="29">
        <v>0</v>
      </c>
      <c r="AO249" s="29"/>
      <c r="AP249" s="29"/>
    </row>
    <row r="250" spans="1:42" ht="15.75">
      <c r="A250" s="89" t="s">
        <v>158</v>
      </c>
      <c r="B250" s="68"/>
      <c r="C250" s="96"/>
      <c r="D250" s="96"/>
      <c r="E250" s="96"/>
      <c r="F250" s="96"/>
      <c r="G250" s="96"/>
      <c r="H250" s="96"/>
      <c r="I250" s="96"/>
      <c r="J250" s="96"/>
      <c r="K250" s="70"/>
      <c r="L250" s="96"/>
      <c r="M250" s="52"/>
      <c r="N250" s="52"/>
      <c r="O250" s="96"/>
      <c r="P250" s="96"/>
      <c r="Q250" s="96"/>
      <c r="R250" s="96"/>
      <c r="S250" s="96"/>
      <c r="T250" s="70"/>
      <c r="U250" s="70"/>
      <c r="V250" s="70"/>
      <c r="W250" s="68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52"/>
      <c r="AJ250" s="52"/>
      <c r="AK250" s="96"/>
      <c r="AL250" s="70"/>
      <c r="AM250" s="70"/>
      <c r="AN250" s="70"/>
      <c r="AO250" s="70"/>
      <c r="AP250" s="70"/>
    </row>
    <row r="251" spans="1:42" ht="15.75">
      <c r="A251" s="71" t="s">
        <v>159</v>
      </c>
      <c r="C251" s="7"/>
      <c r="D251" s="7"/>
      <c r="E251" s="7"/>
      <c r="F251" s="7" t="s">
        <v>160</v>
      </c>
      <c r="G251" s="7"/>
      <c r="H251" s="7"/>
      <c r="I251" s="7" t="s">
        <v>160</v>
      </c>
      <c r="J251" s="7" t="s">
        <v>160</v>
      </c>
      <c r="K251" s="29"/>
      <c r="L251" s="7" t="s">
        <v>160</v>
      </c>
      <c r="M251" s="52"/>
      <c r="N251" s="52"/>
      <c r="O251" s="7"/>
      <c r="P251" s="7"/>
      <c r="Q251" s="7" t="s">
        <v>160</v>
      </c>
      <c r="R251" s="7" t="s">
        <v>160</v>
      </c>
      <c r="S251" s="7" t="s">
        <v>160</v>
      </c>
      <c r="W251" s="51"/>
      <c r="AA251" s="29" t="s">
        <v>160</v>
      </c>
      <c r="AD251" s="29" t="s">
        <v>160</v>
      </c>
      <c r="AE251" s="29" t="s">
        <v>160</v>
      </c>
      <c r="AF251" s="29"/>
      <c r="AG251" s="29" t="s">
        <v>160</v>
      </c>
      <c r="AH251" s="52"/>
      <c r="AJ251" s="52"/>
      <c r="AK251" s="7"/>
      <c r="AL251" s="29" t="s">
        <v>160</v>
      </c>
      <c r="AM251" s="29" t="s">
        <v>160</v>
      </c>
      <c r="AN251" s="29" t="s">
        <v>160</v>
      </c>
      <c r="AO251" s="29"/>
      <c r="AP251" s="29"/>
    </row>
    <row r="252" spans="1:42" ht="15.75">
      <c r="A252" s="71" t="s">
        <v>163</v>
      </c>
      <c r="C252" s="7"/>
      <c r="D252" s="7"/>
      <c r="E252" s="7"/>
      <c r="F252" s="7" t="s">
        <v>88</v>
      </c>
      <c r="G252" s="7"/>
      <c r="H252" s="7"/>
      <c r="I252" s="7" t="s">
        <v>88</v>
      </c>
      <c r="J252" s="7" t="s">
        <v>88</v>
      </c>
      <c r="K252" s="29"/>
      <c r="L252" s="7" t="s">
        <v>88</v>
      </c>
      <c r="M252" s="52"/>
      <c r="N252" s="52"/>
      <c r="O252" s="7"/>
      <c r="P252" s="7"/>
      <c r="Q252" s="7" t="s">
        <v>88</v>
      </c>
      <c r="R252" s="7" t="s">
        <v>88</v>
      </c>
      <c r="S252" s="7" t="s">
        <v>88</v>
      </c>
      <c r="W252" s="51"/>
      <c r="AA252" s="29" t="s">
        <v>88</v>
      </c>
      <c r="AD252" s="29" t="s">
        <v>88</v>
      </c>
      <c r="AE252" s="29" t="s">
        <v>88</v>
      </c>
      <c r="AF252" s="29"/>
      <c r="AG252" s="29" t="s">
        <v>88</v>
      </c>
      <c r="AH252" s="52"/>
      <c r="AJ252" s="52"/>
      <c r="AK252" s="7"/>
      <c r="AL252" s="29" t="s">
        <v>88</v>
      </c>
      <c r="AM252" s="29" t="s">
        <v>88</v>
      </c>
      <c r="AN252" s="29" t="s">
        <v>88</v>
      </c>
      <c r="AO252" s="29"/>
      <c r="AP252" s="29"/>
    </row>
    <row r="253" spans="1:42" ht="15.75">
      <c r="A253" s="71" t="s">
        <v>165</v>
      </c>
      <c r="B253" s="71"/>
      <c r="C253" s="7"/>
      <c r="D253" s="7"/>
      <c r="E253" s="7"/>
      <c r="F253" s="7">
        <f>F228</f>
        <v>1048576</v>
      </c>
      <c r="G253" s="7"/>
      <c r="H253" s="7"/>
      <c r="I253" s="7">
        <v>1048576</v>
      </c>
      <c r="J253" s="7">
        <v>1048576</v>
      </c>
      <c r="K253" s="29"/>
      <c r="L253" s="7">
        <v>1048576</v>
      </c>
      <c r="M253" s="52"/>
      <c r="N253" s="52"/>
      <c r="O253" s="7"/>
      <c r="P253" s="7"/>
      <c r="Q253" s="7">
        <v>1048576</v>
      </c>
      <c r="R253" s="7">
        <v>1048576</v>
      </c>
      <c r="S253" s="7">
        <v>1048576</v>
      </c>
      <c r="W253" s="71"/>
      <c r="AA253" s="29">
        <f>1024*1024</f>
        <v>1048576</v>
      </c>
      <c r="AD253" s="29">
        <f>1024*1024</f>
        <v>1048576</v>
      </c>
      <c r="AE253" s="29">
        <f>1024*1024</f>
        <v>1048576</v>
      </c>
      <c r="AF253" s="29"/>
      <c r="AG253" s="29">
        <f>1024*1024</f>
        <v>1048576</v>
      </c>
      <c r="AH253" s="52"/>
      <c r="AJ253" s="52"/>
      <c r="AK253" s="7"/>
      <c r="AL253" s="29">
        <f>1024*1024</f>
        <v>1048576</v>
      </c>
      <c r="AM253" s="29">
        <f>1024*1024</f>
        <v>1048576</v>
      </c>
      <c r="AN253" s="29">
        <f>1024*1024</f>
        <v>1048576</v>
      </c>
      <c r="AO253" s="29"/>
      <c r="AP253" s="29"/>
    </row>
    <row r="254" spans="1:42" ht="15.75">
      <c r="A254" s="71"/>
      <c r="B254" s="71"/>
      <c r="C254" s="108"/>
      <c r="D254" s="108"/>
      <c r="E254" s="108"/>
      <c r="F254" s="108"/>
      <c r="G254" s="108"/>
      <c r="H254" s="108"/>
      <c r="I254" s="108"/>
      <c r="J254" s="108"/>
      <c r="K254" s="90"/>
      <c r="L254" s="108"/>
      <c r="M254" s="52"/>
      <c r="N254" s="52"/>
      <c r="O254" s="108"/>
      <c r="P254" s="108"/>
      <c r="Q254" s="108"/>
      <c r="R254" s="108"/>
      <c r="S254" s="108"/>
      <c r="T254" s="90"/>
      <c r="U254" s="90"/>
      <c r="V254" s="90"/>
      <c r="W254" s="71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52"/>
      <c r="AJ254" s="52"/>
      <c r="AK254" s="108"/>
      <c r="AL254" s="90"/>
      <c r="AM254" s="90"/>
      <c r="AN254" s="90"/>
      <c r="AO254" s="90"/>
      <c r="AP254" s="90"/>
    </row>
    <row r="255" spans="1:42" ht="15.75">
      <c r="A255" s="71" t="s">
        <v>166</v>
      </c>
      <c r="B255" s="71"/>
      <c r="C255" s="7"/>
      <c r="D255" s="7"/>
      <c r="E255" s="7"/>
      <c r="F255" s="7">
        <v>995359</v>
      </c>
      <c r="G255" s="7"/>
      <c r="H255" s="7"/>
      <c r="I255" s="7">
        <f xml:space="preserve"> 1*931328+46605</f>
        <v>977933</v>
      </c>
      <c r="J255" s="7">
        <f xml:space="preserve"> 1*931328+47928</f>
        <v>979256</v>
      </c>
      <c r="K255" s="7"/>
      <c r="L255" s="7">
        <f xml:space="preserve"> 1*931328+47280</f>
        <v>978608</v>
      </c>
      <c r="M255" s="52"/>
      <c r="N255" s="52"/>
      <c r="O255" s="7"/>
      <c r="P255" s="7"/>
      <c r="Q255" s="7" t="e">
        <f>#REF!</f>
        <v>#REF!</v>
      </c>
      <c r="R255" s="7">
        <f xml:space="preserve"> 1*931328+46527</f>
        <v>977855</v>
      </c>
      <c r="S255" s="7" t="e">
        <f>#REF!</f>
        <v>#REF!</v>
      </c>
      <c r="W255" s="71"/>
      <c r="AA255" s="29">
        <f>1*931328+216667+48155</f>
        <v>1196150</v>
      </c>
      <c r="AD255" s="29">
        <f>1*931328+216667+48155</f>
        <v>1196150</v>
      </c>
      <c r="AE255" s="29">
        <f>1*931328+216667+50804</f>
        <v>1198799</v>
      </c>
      <c r="AF255" s="29"/>
      <c r="AG255" s="29">
        <f>1*931328+216667+47280</f>
        <v>1195275</v>
      </c>
      <c r="AH255" s="52"/>
      <c r="AJ255" s="52"/>
      <c r="AK255" s="7"/>
      <c r="AL255" s="29">
        <f>931328+46527</f>
        <v>977855</v>
      </c>
      <c r="AM255" s="29">
        <f>931328+46527</f>
        <v>977855</v>
      </c>
      <c r="AN255" s="29">
        <f>931328+46605</f>
        <v>977933</v>
      </c>
      <c r="AO255" s="29"/>
      <c r="AP255" s="29"/>
    </row>
    <row r="256" spans="1:42" ht="15.75">
      <c r="A256" s="91" t="s">
        <v>83</v>
      </c>
      <c r="C256" s="28"/>
      <c r="D256" s="7"/>
      <c r="E256" s="7"/>
      <c r="F256" s="7" t="s">
        <v>88</v>
      </c>
      <c r="G256" s="7"/>
      <c r="H256" s="7"/>
      <c r="I256" s="7" t="s">
        <v>88</v>
      </c>
      <c r="J256" s="7" t="s">
        <v>88</v>
      </c>
      <c r="K256" s="29"/>
      <c r="L256" s="7" t="s">
        <v>88</v>
      </c>
      <c r="M256" s="52"/>
      <c r="N256" s="52"/>
      <c r="O256" s="28"/>
      <c r="P256" s="7"/>
      <c r="Q256" s="7" t="s">
        <v>88</v>
      </c>
      <c r="R256" s="7" t="s">
        <v>88</v>
      </c>
      <c r="S256" s="7" t="s">
        <v>88</v>
      </c>
      <c r="W256" s="51"/>
      <c r="X256" s="85"/>
      <c r="AA256" s="29" t="s">
        <v>88</v>
      </c>
      <c r="AD256" s="29" t="s">
        <v>88</v>
      </c>
      <c r="AE256" s="29" t="s">
        <v>88</v>
      </c>
      <c r="AF256" s="29"/>
      <c r="AG256" s="29" t="s">
        <v>88</v>
      </c>
      <c r="AH256" s="52"/>
      <c r="AJ256" s="52"/>
      <c r="AK256" s="7"/>
      <c r="AL256" s="29" t="s">
        <v>88</v>
      </c>
      <c r="AM256" s="29" t="s">
        <v>88</v>
      </c>
      <c r="AN256" s="29" t="s">
        <v>88</v>
      </c>
      <c r="AO256" s="29"/>
      <c r="AP256" s="29"/>
    </row>
    <row r="257" spans="1:42" ht="15.75">
      <c r="A257" s="91" t="s">
        <v>168</v>
      </c>
      <c r="C257" s="29"/>
      <c r="D257" s="29"/>
      <c r="E257" s="29"/>
      <c r="F257" s="29" t="s">
        <v>89</v>
      </c>
      <c r="G257" s="29"/>
      <c r="H257" s="29"/>
      <c r="I257" s="29" t="s">
        <v>89</v>
      </c>
      <c r="J257" s="29" t="s">
        <v>89</v>
      </c>
      <c r="K257" s="29"/>
      <c r="L257" s="29" t="s">
        <v>89</v>
      </c>
      <c r="M257" s="52"/>
      <c r="N257" s="52"/>
      <c r="O257" s="92"/>
      <c r="P257" s="52"/>
      <c r="Q257" s="92" t="s">
        <v>303</v>
      </c>
      <c r="R257" s="29" t="s">
        <v>89</v>
      </c>
      <c r="S257" s="92" t="s">
        <v>303</v>
      </c>
      <c r="W257" s="51"/>
      <c r="X257" s="85"/>
      <c r="AA257" s="29" t="s">
        <v>89</v>
      </c>
      <c r="AD257" s="29" t="s">
        <v>89</v>
      </c>
      <c r="AE257" s="29" t="s">
        <v>89</v>
      </c>
      <c r="AF257" s="29"/>
      <c r="AG257" s="29" t="s">
        <v>89</v>
      </c>
      <c r="AH257" s="52"/>
      <c r="AJ257" s="52"/>
      <c r="AK257" s="52"/>
      <c r="AL257" s="29" t="s">
        <v>303</v>
      </c>
      <c r="AM257" s="29" t="s">
        <v>89</v>
      </c>
      <c r="AN257" s="29" t="s">
        <v>303</v>
      </c>
      <c r="AO257" s="29"/>
      <c r="AP257" s="29"/>
    </row>
    <row r="258" spans="1:42" ht="31.5">
      <c r="A258" s="91" t="s">
        <v>170</v>
      </c>
      <c r="C258" s="28"/>
      <c r="D258" s="7"/>
      <c r="E258" s="7"/>
      <c r="F258" s="7"/>
      <c r="G258" s="7"/>
      <c r="H258" s="7"/>
      <c r="I258" s="7"/>
      <c r="J258" s="7"/>
      <c r="K258" s="29"/>
      <c r="L258" s="7"/>
      <c r="M258" s="52"/>
      <c r="N258" s="52"/>
      <c r="O258" s="28"/>
      <c r="P258" s="7"/>
      <c r="Q258" s="7">
        <v>0</v>
      </c>
      <c r="R258" s="7"/>
      <c r="S258" s="7">
        <v>0</v>
      </c>
      <c r="W258" s="51"/>
      <c r="X258" s="92"/>
      <c r="AE258" s="29"/>
      <c r="AF258" s="29"/>
      <c r="AG258" s="29"/>
      <c r="AH258" s="52"/>
      <c r="AJ258" s="52"/>
      <c r="AK258" s="7"/>
      <c r="AL258" s="29"/>
      <c r="AM258" s="29"/>
      <c r="AN258" s="29"/>
      <c r="AO258" s="29"/>
      <c r="AP258" s="29"/>
    </row>
    <row r="259" spans="1:42" ht="31.5">
      <c r="A259" s="91" t="s">
        <v>305</v>
      </c>
      <c r="C259" s="7"/>
      <c r="D259" s="7"/>
      <c r="E259" s="7"/>
      <c r="F259" s="7"/>
      <c r="G259" s="7"/>
      <c r="H259" s="7"/>
      <c r="I259" s="7"/>
      <c r="J259" s="7"/>
      <c r="K259" s="29"/>
      <c r="L259" s="7"/>
      <c r="M259" s="52"/>
      <c r="N259" s="52"/>
      <c r="O259" s="7"/>
      <c r="P259" s="7"/>
      <c r="Q259" s="7"/>
      <c r="R259" s="7"/>
      <c r="S259" s="7"/>
      <c r="W259" s="51"/>
      <c r="AE259" s="29"/>
      <c r="AF259" s="29"/>
      <c r="AG259" s="29"/>
      <c r="AH259" s="52"/>
      <c r="AJ259" s="52"/>
      <c r="AK259" s="7"/>
      <c r="AL259" s="29"/>
      <c r="AM259" s="29"/>
      <c r="AN259" s="29"/>
      <c r="AO259" s="29"/>
      <c r="AP259" s="29"/>
    </row>
    <row r="260" spans="1:42" ht="31.5">
      <c r="A260" s="91" t="s">
        <v>306</v>
      </c>
      <c r="C260" s="7"/>
      <c r="D260" s="7"/>
      <c r="E260" s="7"/>
      <c r="F260" s="7"/>
      <c r="G260" s="7"/>
      <c r="H260" s="7"/>
      <c r="I260" s="7"/>
      <c r="J260" s="7"/>
      <c r="K260" s="29"/>
      <c r="L260" s="7"/>
      <c r="M260" s="52"/>
      <c r="N260" s="52"/>
      <c r="O260" s="7"/>
      <c r="P260" s="7"/>
      <c r="Q260" s="7"/>
      <c r="R260" s="7"/>
      <c r="S260" s="7"/>
      <c r="W260" s="51"/>
      <c r="AE260" s="29"/>
      <c r="AF260" s="29"/>
      <c r="AG260" s="29"/>
      <c r="AH260" s="52"/>
      <c r="AJ260" s="52"/>
      <c r="AK260" s="7"/>
      <c r="AL260" s="29"/>
      <c r="AM260" s="29"/>
      <c r="AN260" s="29"/>
      <c r="AO260" s="29"/>
      <c r="AP260" s="29"/>
    </row>
    <row r="261" spans="1:42" ht="15.75">
      <c r="A261" s="68" t="s">
        <v>343</v>
      </c>
      <c r="B261" s="68"/>
      <c r="C261" s="96"/>
      <c r="D261" s="96"/>
      <c r="E261" s="96"/>
      <c r="F261" s="96"/>
      <c r="G261" s="96"/>
      <c r="H261" s="96"/>
      <c r="I261" s="96"/>
      <c r="J261" s="96"/>
      <c r="K261" s="70"/>
      <c r="L261" s="96"/>
      <c r="M261" s="52"/>
      <c r="N261" s="52"/>
      <c r="O261" s="96"/>
      <c r="P261" s="96"/>
      <c r="Q261" s="96"/>
      <c r="R261" s="96"/>
      <c r="S261" s="96"/>
      <c r="T261" s="70"/>
      <c r="U261" s="70"/>
      <c r="V261" s="70"/>
      <c r="W261" s="68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52"/>
      <c r="AJ261" s="52"/>
      <c r="AK261" s="96"/>
      <c r="AL261" s="70"/>
      <c r="AM261" s="70"/>
      <c r="AN261" s="70"/>
      <c r="AO261" s="70"/>
      <c r="AP261" s="70"/>
    </row>
    <row r="262" spans="1:42" ht="15.75">
      <c r="A262" s="86" t="s">
        <v>136</v>
      </c>
      <c r="C262" s="7"/>
      <c r="D262" s="7"/>
      <c r="E262" s="7"/>
      <c r="F262" s="7">
        <v>8</v>
      </c>
      <c r="G262" s="7"/>
      <c r="H262" s="7"/>
      <c r="I262" s="7">
        <v>8</v>
      </c>
      <c r="J262" s="7">
        <v>8</v>
      </c>
      <c r="K262" s="29"/>
      <c r="L262" s="7">
        <v>8</v>
      </c>
      <c r="M262" s="52"/>
      <c r="N262" s="52"/>
      <c r="O262" s="7"/>
      <c r="P262" s="7"/>
      <c r="R262" s="7">
        <v>8</v>
      </c>
      <c r="W262" s="51"/>
      <c r="AA262" s="29">
        <v>8</v>
      </c>
      <c r="AD262" s="29">
        <v>8</v>
      </c>
      <c r="AE262" s="29">
        <v>8</v>
      </c>
      <c r="AF262" s="29"/>
      <c r="AG262" s="29">
        <v>8</v>
      </c>
      <c r="AH262" s="52"/>
      <c r="AJ262" s="52"/>
      <c r="AK262" s="7"/>
      <c r="AL262" s="29">
        <v>8</v>
      </c>
      <c r="AM262" s="29">
        <v>8</v>
      </c>
      <c r="AN262" s="29">
        <v>8</v>
      </c>
      <c r="AO262" s="29"/>
      <c r="AP262" s="29"/>
    </row>
    <row r="263" spans="1:42" ht="15.75">
      <c r="A263" s="71" t="s">
        <v>300</v>
      </c>
      <c r="B263" s="86"/>
      <c r="C263" s="7"/>
      <c r="D263" s="7"/>
      <c r="E263" s="7"/>
      <c r="F263" s="7">
        <v>1</v>
      </c>
      <c r="G263" s="7"/>
      <c r="H263" s="7"/>
      <c r="I263" s="7">
        <v>1</v>
      </c>
      <c r="J263" s="7">
        <v>1</v>
      </c>
      <c r="K263" s="29"/>
      <c r="L263" s="7">
        <v>1</v>
      </c>
      <c r="M263" s="52"/>
      <c r="N263" s="52"/>
      <c r="O263" s="7"/>
      <c r="P263" s="7"/>
      <c r="R263" s="7">
        <v>1</v>
      </c>
      <c r="W263" s="86"/>
      <c r="AA263" s="29">
        <v>1</v>
      </c>
      <c r="AD263" s="29">
        <v>1</v>
      </c>
      <c r="AE263" s="29">
        <v>1</v>
      </c>
      <c r="AF263" s="29"/>
      <c r="AG263" s="29">
        <v>1</v>
      </c>
      <c r="AH263" s="52"/>
      <c r="AJ263" s="52"/>
      <c r="AK263" s="7"/>
      <c r="AL263" s="29">
        <v>1</v>
      </c>
      <c r="AM263" s="29">
        <v>1</v>
      </c>
      <c r="AN263" s="29">
        <v>1</v>
      </c>
      <c r="AO263" s="29"/>
      <c r="AP263" s="29"/>
    </row>
    <row r="264" spans="1:42" ht="15.75">
      <c r="A264" s="71" t="s">
        <v>137</v>
      </c>
      <c r="C264" s="7"/>
      <c r="D264" s="7"/>
      <c r="E264" s="7"/>
      <c r="F264" s="7">
        <v>0</v>
      </c>
      <c r="G264" s="7"/>
      <c r="H264" s="7"/>
      <c r="I264" s="7">
        <v>0</v>
      </c>
      <c r="J264" s="7">
        <v>0</v>
      </c>
      <c r="K264" s="29"/>
      <c r="L264" s="7">
        <v>0</v>
      </c>
      <c r="M264" s="52"/>
      <c r="N264" s="52"/>
      <c r="O264" s="7"/>
      <c r="P264" s="7"/>
      <c r="R264" s="7">
        <v>0</v>
      </c>
      <c r="W264" s="51"/>
      <c r="AA264" s="29">
        <v>0</v>
      </c>
      <c r="AD264" s="29">
        <v>0</v>
      </c>
      <c r="AE264" s="29">
        <v>0</v>
      </c>
      <c r="AF264" s="29"/>
      <c r="AG264" s="29">
        <v>0</v>
      </c>
      <c r="AH264" s="52"/>
      <c r="AJ264" s="52"/>
      <c r="AK264" s="7"/>
      <c r="AL264" s="29">
        <v>0</v>
      </c>
      <c r="AM264" s="29">
        <v>0</v>
      </c>
      <c r="AN264" s="29">
        <v>0</v>
      </c>
      <c r="AO264" s="29"/>
      <c r="AP264" s="29"/>
    </row>
    <row r="265" spans="1:42" ht="15.75">
      <c r="A265" s="71" t="s">
        <v>138</v>
      </c>
      <c r="C265" s="7"/>
      <c r="D265" s="7"/>
      <c r="E265" s="7"/>
      <c r="F265" s="7" t="s">
        <v>101</v>
      </c>
      <c r="G265" s="7"/>
      <c r="H265" s="7"/>
      <c r="I265" s="7" t="s">
        <v>101</v>
      </c>
      <c r="J265" s="7" t="s">
        <v>101</v>
      </c>
      <c r="K265" s="29"/>
      <c r="L265" s="7" t="s">
        <v>101</v>
      </c>
      <c r="M265" s="52"/>
      <c r="N265" s="52"/>
      <c r="O265" s="7"/>
      <c r="P265" s="7"/>
      <c r="R265" s="7" t="s">
        <v>101</v>
      </c>
      <c r="W265" s="51"/>
      <c r="AA265" s="29" t="s">
        <v>101</v>
      </c>
      <c r="AD265" s="29" t="s">
        <v>101</v>
      </c>
      <c r="AE265" s="29" t="s">
        <v>101</v>
      </c>
      <c r="AF265" s="29"/>
      <c r="AG265" s="29" t="s">
        <v>101</v>
      </c>
      <c r="AH265" s="52"/>
      <c r="AJ265" s="52"/>
      <c r="AK265" s="7"/>
      <c r="AL265" s="29" t="s">
        <v>101</v>
      </c>
      <c r="AM265" s="29" t="s">
        <v>101</v>
      </c>
      <c r="AN265" s="29" t="s">
        <v>101</v>
      </c>
      <c r="AO265" s="29"/>
      <c r="AP265" s="29"/>
    </row>
    <row r="266" spans="1:42" ht="15.75">
      <c r="A266" s="71" t="s">
        <v>140</v>
      </c>
      <c r="C266" s="34"/>
      <c r="D266" s="107"/>
      <c r="E266" s="107"/>
      <c r="F266" s="107">
        <f>2/3</f>
        <v>0.66666666666666663</v>
      </c>
      <c r="G266" s="107"/>
      <c r="H266" s="107"/>
      <c r="I266" s="107">
        <f>2/3</f>
        <v>0.66666666666666663</v>
      </c>
      <c r="J266" s="107">
        <f>2/3</f>
        <v>0.66666666666666663</v>
      </c>
      <c r="K266" s="88"/>
      <c r="L266" s="107">
        <f>2/3</f>
        <v>0.66666666666666663</v>
      </c>
      <c r="M266" s="52"/>
      <c r="N266" s="52"/>
      <c r="O266" s="34"/>
      <c r="P266" s="107"/>
      <c r="R266" s="107">
        <f>2/3</f>
        <v>0.66666666666666663</v>
      </c>
      <c r="T266" s="88"/>
      <c r="U266" s="88"/>
      <c r="V266" s="88"/>
      <c r="W266" s="51"/>
      <c r="X266" s="87"/>
      <c r="Y266" s="88"/>
      <c r="Z266" s="88"/>
      <c r="AA266" s="88">
        <f>2/3</f>
        <v>0.66666666666666663</v>
      </c>
      <c r="AB266" s="88"/>
      <c r="AC266" s="88"/>
      <c r="AD266" s="88">
        <f>2/3</f>
        <v>0.66666666666666663</v>
      </c>
      <c r="AE266" s="88">
        <f>2/3</f>
        <v>0.66666666666666663</v>
      </c>
      <c r="AF266" s="88"/>
      <c r="AG266" s="88">
        <f>2/3</f>
        <v>0.66666666666666663</v>
      </c>
      <c r="AH266" s="52"/>
      <c r="AJ266" s="52"/>
      <c r="AK266" s="107"/>
      <c r="AL266" s="88">
        <f>2/3</f>
        <v>0.66666666666666663</v>
      </c>
      <c r="AM266" s="88">
        <f>2/3</f>
        <v>0.66666666666666663</v>
      </c>
      <c r="AN266" s="88">
        <f>2/3</f>
        <v>0.66666666666666663</v>
      </c>
      <c r="AO266" s="88"/>
      <c r="AP266" s="88"/>
    </row>
    <row r="267" spans="1:42" ht="15.75">
      <c r="A267" s="71" t="s">
        <v>146</v>
      </c>
      <c r="C267" s="7"/>
      <c r="D267" s="7"/>
      <c r="E267" s="7"/>
      <c r="F267" s="7">
        <v>16200</v>
      </c>
      <c r="G267" s="7"/>
      <c r="H267" s="7"/>
      <c r="I267" s="7">
        <v>16200</v>
      </c>
      <c r="J267" s="7">
        <v>16200</v>
      </c>
      <c r="K267" s="29"/>
      <c r="L267" s="7">
        <v>16200</v>
      </c>
      <c r="M267" s="52"/>
      <c r="N267" s="52"/>
      <c r="O267" s="7"/>
      <c r="P267" s="7"/>
      <c r="R267" s="7">
        <v>16200</v>
      </c>
      <c r="W267" s="51"/>
      <c r="AA267" s="29">
        <v>16200</v>
      </c>
      <c r="AD267" s="29">
        <v>16200</v>
      </c>
      <c r="AE267" s="29">
        <v>16200</v>
      </c>
      <c r="AF267" s="29"/>
      <c r="AG267" s="29">
        <v>16200</v>
      </c>
      <c r="AH267" s="52"/>
      <c r="AJ267" s="52"/>
      <c r="AK267" s="7"/>
      <c r="AL267" s="29">
        <v>16200</v>
      </c>
      <c r="AM267" s="29">
        <v>16200</v>
      </c>
      <c r="AN267" s="29">
        <v>16200</v>
      </c>
      <c r="AO267" s="29"/>
      <c r="AP267" s="29"/>
    </row>
    <row r="268" spans="1:42" ht="15.75">
      <c r="A268" s="71" t="s">
        <v>147</v>
      </c>
      <c r="C268" s="7"/>
      <c r="D268" s="7"/>
      <c r="E268" s="7"/>
      <c r="F268" s="7" t="s">
        <v>88</v>
      </c>
      <c r="G268" s="7"/>
      <c r="H268" s="7"/>
      <c r="I268" s="7" t="s">
        <v>88</v>
      </c>
      <c r="J268" s="7" t="s">
        <v>88</v>
      </c>
      <c r="K268" s="29"/>
      <c r="L268" s="7" t="s">
        <v>88</v>
      </c>
      <c r="M268" s="52"/>
      <c r="N268" s="52"/>
      <c r="O268" s="7"/>
      <c r="P268" s="7"/>
      <c r="R268" s="7" t="s">
        <v>88</v>
      </c>
      <c r="W268" s="51"/>
      <c r="AA268" s="29" t="s">
        <v>88</v>
      </c>
      <c r="AD268" s="29" t="s">
        <v>88</v>
      </c>
      <c r="AE268" s="29" t="s">
        <v>88</v>
      </c>
      <c r="AF268" s="29"/>
      <c r="AG268" s="29" t="s">
        <v>88</v>
      </c>
      <c r="AH268" s="52"/>
      <c r="AJ268" s="52"/>
      <c r="AK268" s="7"/>
      <c r="AL268" s="29" t="s">
        <v>88</v>
      </c>
      <c r="AM268" s="29" t="s">
        <v>88</v>
      </c>
      <c r="AN268" s="29" t="s">
        <v>88</v>
      </c>
      <c r="AO268" s="29"/>
      <c r="AP268" s="29"/>
    </row>
    <row r="269" spans="1:42" ht="15.75">
      <c r="A269" s="71" t="s">
        <v>148</v>
      </c>
      <c r="B269" s="53"/>
      <c r="C269" s="7"/>
      <c r="D269" s="7"/>
      <c r="E269" s="7"/>
      <c r="F269" s="7">
        <v>3</v>
      </c>
      <c r="G269" s="7"/>
      <c r="H269" s="7"/>
      <c r="I269" s="7">
        <v>3</v>
      </c>
      <c r="J269" s="7">
        <v>3</v>
      </c>
      <c r="K269" s="29"/>
      <c r="L269" s="7">
        <v>3</v>
      </c>
      <c r="M269" s="52"/>
      <c r="N269" s="52"/>
      <c r="O269" s="7"/>
      <c r="P269" s="7"/>
      <c r="R269" s="7">
        <v>3</v>
      </c>
      <c r="W269" s="53"/>
      <c r="AA269" s="29">
        <v>3</v>
      </c>
      <c r="AD269" s="29">
        <v>3</v>
      </c>
      <c r="AE269" s="29">
        <v>3</v>
      </c>
      <c r="AF269" s="29"/>
      <c r="AG269" s="29">
        <v>3</v>
      </c>
      <c r="AH269" s="52"/>
      <c r="AJ269" s="52"/>
      <c r="AK269" s="7"/>
      <c r="AL269" s="29">
        <v>3</v>
      </c>
      <c r="AM269" s="29">
        <v>3</v>
      </c>
      <c r="AN269" s="29">
        <v>3</v>
      </c>
      <c r="AO269" s="29"/>
      <c r="AP269" s="29"/>
    </row>
    <row r="270" spans="1:42" ht="15.75">
      <c r="A270" s="71" t="s">
        <v>150</v>
      </c>
      <c r="C270" s="7"/>
      <c r="D270" s="7"/>
      <c r="E270" s="7"/>
      <c r="F270" s="7">
        <v>3</v>
      </c>
      <c r="G270" s="7"/>
      <c r="H270" s="7"/>
      <c r="I270" s="7">
        <v>3</v>
      </c>
      <c r="J270" s="7">
        <v>3</v>
      </c>
      <c r="K270" s="29"/>
      <c r="L270" s="7">
        <v>3</v>
      </c>
      <c r="M270" s="52"/>
      <c r="N270" s="52"/>
      <c r="O270" s="7"/>
      <c r="P270" s="7"/>
      <c r="R270" s="7">
        <v>3</v>
      </c>
      <c r="W270" s="51"/>
      <c r="AA270" s="29">
        <v>3</v>
      </c>
      <c r="AD270" s="29">
        <v>3</v>
      </c>
      <c r="AE270" s="29">
        <v>3</v>
      </c>
      <c r="AF270" s="29"/>
      <c r="AG270" s="29">
        <v>3</v>
      </c>
      <c r="AH270" s="52"/>
      <c r="AJ270" s="52"/>
      <c r="AK270" s="7"/>
      <c r="AL270" s="29">
        <v>3</v>
      </c>
      <c r="AM270" s="29">
        <v>3</v>
      </c>
      <c r="AN270" s="29">
        <v>3</v>
      </c>
      <c r="AO270" s="29"/>
      <c r="AP270" s="29"/>
    </row>
    <row r="271" spans="1:42" ht="15.75">
      <c r="A271" s="71" t="s">
        <v>152</v>
      </c>
      <c r="B271" s="53"/>
      <c r="C271" s="7"/>
      <c r="D271" s="7"/>
      <c r="E271" s="7"/>
      <c r="F271" s="7">
        <v>1</v>
      </c>
      <c r="G271" s="7"/>
      <c r="H271" s="7"/>
      <c r="I271" s="7">
        <v>1</v>
      </c>
      <c r="J271" s="7">
        <v>1</v>
      </c>
      <c r="K271" s="29"/>
      <c r="L271" s="7">
        <v>1</v>
      </c>
      <c r="M271" s="52"/>
      <c r="N271" s="52"/>
      <c r="O271" s="7"/>
      <c r="P271" s="7"/>
      <c r="R271" s="7">
        <v>1</v>
      </c>
      <c r="W271" s="53"/>
      <c r="AA271" s="29">
        <v>1</v>
      </c>
      <c r="AD271" s="29">
        <v>1</v>
      </c>
      <c r="AE271" s="29">
        <v>1</v>
      </c>
      <c r="AF271" s="29"/>
      <c r="AG271" s="29">
        <v>1</v>
      </c>
      <c r="AH271" s="52"/>
      <c r="AJ271" s="52"/>
      <c r="AK271" s="7"/>
      <c r="AL271" s="29">
        <v>1</v>
      </c>
      <c r="AM271" s="29">
        <v>1</v>
      </c>
      <c r="AN271" s="29">
        <v>1</v>
      </c>
      <c r="AO271" s="29"/>
      <c r="AP271" s="29"/>
    </row>
    <row r="272" spans="1:42" ht="15.75">
      <c r="A272" s="71" t="s">
        <v>154</v>
      </c>
      <c r="B272" s="53"/>
      <c r="C272" s="7"/>
      <c r="D272" s="7"/>
      <c r="E272" s="7"/>
      <c r="F272" s="7">
        <v>1</v>
      </c>
      <c r="G272" s="7"/>
      <c r="H272" s="7"/>
      <c r="I272" s="7">
        <v>1</v>
      </c>
      <c r="J272" s="7">
        <v>1</v>
      </c>
      <c r="K272" s="29"/>
      <c r="L272" s="7">
        <v>1</v>
      </c>
      <c r="M272" s="52"/>
      <c r="N272" s="52"/>
      <c r="O272" s="7"/>
      <c r="P272" s="7"/>
      <c r="R272" s="7">
        <v>1</v>
      </c>
      <c r="W272" s="53"/>
      <c r="AA272" s="29">
        <v>1</v>
      </c>
      <c r="AD272" s="29">
        <v>1</v>
      </c>
      <c r="AE272" s="29">
        <v>1</v>
      </c>
      <c r="AF272" s="29"/>
      <c r="AG272" s="29">
        <v>1</v>
      </c>
      <c r="AH272" s="52"/>
      <c r="AJ272" s="52"/>
      <c r="AK272" s="7"/>
      <c r="AL272" s="29">
        <v>1</v>
      </c>
      <c r="AM272" s="29">
        <v>1</v>
      </c>
      <c r="AN272" s="29">
        <v>1</v>
      </c>
      <c r="AO272" s="29"/>
      <c r="AP272" s="29"/>
    </row>
    <row r="273" spans="1:42" ht="15.75">
      <c r="A273" s="71" t="s">
        <v>155</v>
      </c>
      <c r="C273" s="7"/>
      <c r="D273" s="7"/>
      <c r="E273" s="7"/>
      <c r="F273" s="7">
        <v>1</v>
      </c>
      <c r="G273" s="7"/>
      <c r="H273" s="7"/>
      <c r="I273" s="7">
        <v>1</v>
      </c>
      <c r="J273" s="7">
        <v>1</v>
      </c>
      <c r="K273" s="29"/>
      <c r="L273" s="7">
        <v>1</v>
      </c>
      <c r="M273" s="52"/>
      <c r="N273" s="52"/>
      <c r="O273" s="7"/>
      <c r="P273" s="7"/>
      <c r="R273" s="7">
        <v>1</v>
      </c>
      <c r="W273" s="51"/>
      <c r="AA273" s="29">
        <v>1</v>
      </c>
      <c r="AD273" s="29">
        <v>1</v>
      </c>
      <c r="AE273" s="29">
        <v>1</v>
      </c>
      <c r="AF273" s="29"/>
      <c r="AG273" s="29">
        <v>1</v>
      </c>
      <c r="AH273" s="52"/>
      <c r="AJ273" s="52"/>
      <c r="AK273" s="7"/>
      <c r="AL273" s="29">
        <v>1</v>
      </c>
      <c r="AM273" s="29">
        <v>1</v>
      </c>
      <c r="AN273" s="29">
        <v>1</v>
      </c>
      <c r="AO273" s="29"/>
      <c r="AP273" s="29"/>
    </row>
    <row r="274" spans="1:42" ht="15.75">
      <c r="A274" s="71" t="s">
        <v>302</v>
      </c>
      <c r="B274" s="71"/>
      <c r="C274" s="7"/>
      <c r="D274" s="7"/>
      <c r="E274" s="7"/>
      <c r="F274" s="7">
        <v>0</v>
      </c>
      <c r="G274" s="7"/>
      <c r="H274" s="7"/>
      <c r="I274" s="7">
        <v>0</v>
      </c>
      <c r="J274" s="7">
        <v>0</v>
      </c>
      <c r="K274" s="29"/>
      <c r="L274" s="7">
        <v>0</v>
      </c>
      <c r="M274" s="52"/>
      <c r="N274" s="52"/>
      <c r="O274" s="7"/>
      <c r="P274" s="7"/>
      <c r="R274" s="7">
        <v>0</v>
      </c>
      <c r="W274" s="71"/>
      <c r="AA274" s="29">
        <v>0</v>
      </c>
      <c r="AD274" s="29">
        <v>0</v>
      </c>
      <c r="AE274" s="29">
        <v>0</v>
      </c>
      <c r="AF274" s="29"/>
      <c r="AG274" s="29">
        <v>0</v>
      </c>
      <c r="AH274" s="52"/>
      <c r="AJ274" s="52"/>
      <c r="AK274" s="7"/>
      <c r="AL274" s="29">
        <v>0</v>
      </c>
      <c r="AM274" s="29">
        <v>0</v>
      </c>
      <c r="AN274" s="29">
        <v>0</v>
      </c>
      <c r="AO274" s="29"/>
      <c r="AP274" s="29"/>
    </row>
    <row r="275" spans="1:42" ht="15.75">
      <c r="A275" s="89" t="s">
        <v>158</v>
      </c>
      <c r="B275" s="68"/>
      <c r="C275" s="96"/>
      <c r="D275" s="96"/>
      <c r="E275" s="96"/>
      <c r="F275" s="96"/>
      <c r="G275" s="96"/>
      <c r="H275" s="96"/>
      <c r="I275" s="96"/>
      <c r="J275" s="96"/>
      <c r="K275" s="70"/>
      <c r="L275" s="96"/>
      <c r="M275" s="52"/>
      <c r="N275" s="52"/>
      <c r="O275" s="96"/>
      <c r="P275" s="96"/>
      <c r="R275" s="96"/>
      <c r="T275" s="70"/>
      <c r="U275" s="70"/>
      <c r="V275" s="70"/>
      <c r="W275" s="68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52"/>
      <c r="AJ275" s="52"/>
      <c r="AK275" s="96"/>
      <c r="AL275" s="70"/>
      <c r="AM275" s="70"/>
      <c r="AN275" s="70"/>
      <c r="AO275" s="70"/>
      <c r="AP275" s="70"/>
    </row>
    <row r="276" spans="1:42" ht="15.75">
      <c r="A276" s="71" t="s">
        <v>159</v>
      </c>
      <c r="C276" s="7"/>
      <c r="D276" s="7"/>
      <c r="E276" s="7"/>
      <c r="F276" s="7" t="s">
        <v>160</v>
      </c>
      <c r="G276" s="7"/>
      <c r="H276" s="7"/>
      <c r="I276" s="7" t="s">
        <v>160</v>
      </c>
      <c r="J276" s="7" t="s">
        <v>160</v>
      </c>
      <c r="K276" s="29"/>
      <c r="L276" s="7" t="s">
        <v>160</v>
      </c>
      <c r="M276" s="52"/>
      <c r="N276" s="52"/>
      <c r="O276" s="7"/>
      <c r="P276" s="7"/>
      <c r="R276" s="7" t="s">
        <v>160</v>
      </c>
      <c r="W276" s="51"/>
      <c r="AA276" s="29" t="s">
        <v>160</v>
      </c>
      <c r="AD276" s="29" t="s">
        <v>160</v>
      </c>
      <c r="AE276" s="29" t="s">
        <v>160</v>
      </c>
      <c r="AF276" s="29"/>
      <c r="AG276" s="29" t="s">
        <v>160</v>
      </c>
      <c r="AH276" s="52"/>
      <c r="AJ276" s="52"/>
      <c r="AK276" s="7"/>
      <c r="AL276" s="29" t="s">
        <v>160</v>
      </c>
      <c r="AM276" s="29" t="s">
        <v>160</v>
      </c>
      <c r="AN276" s="29" t="s">
        <v>160</v>
      </c>
      <c r="AO276" s="29"/>
      <c r="AP276" s="29"/>
    </row>
    <row r="277" spans="1:42" ht="15.75">
      <c r="A277" s="71" t="s">
        <v>163</v>
      </c>
      <c r="C277" s="7"/>
      <c r="D277" s="7"/>
      <c r="E277" s="7"/>
      <c r="F277" s="7" t="s">
        <v>88</v>
      </c>
      <c r="G277" s="7"/>
      <c r="H277" s="7"/>
      <c r="I277" s="7" t="s">
        <v>88</v>
      </c>
      <c r="J277" s="7" t="s">
        <v>88</v>
      </c>
      <c r="K277" s="29"/>
      <c r="L277" s="7" t="s">
        <v>88</v>
      </c>
      <c r="M277" s="52"/>
      <c r="N277" s="52"/>
      <c r="O277" s="7"/>
      <c r="P277" s="7"/>
      <c r="R277" s="7" t="s">
        <v>88</v>
      </c>
      <c r="W277" s="51"/>
      <c r="AA277" s="29" t="s">
        <v>88</v>
      </c>
      <c r="AD277" s="29" t="s">
        <v>88</v>
      </c>
      <c r="AE277" s="29" t="s">
        <v>88</v>
      </c>
      <c r="AF277" s="29"/>
      <c r="AG277" s="29" t="s">
        <v>88</v>
      </c>
      <c r="AH277" s="52"/>
      <c r="AJ277" s="52"/>
      <c r="AK277" s="7"/>
      <c r="AL277" s="29" t="s">
        <v>88</v>
      </c>
      <c r="AM277" s="29" t="s">
        <v>88</v>
      </c>
      <c r="AN277" s="29" t="s">
        <v>88</v>
      </c>
      <c r="AO277" s="29"/>
      <c r="AP277" s="29"/>
    </row>
    <row r="278" spans="1:42" ht="15.75">
      <c r="A278" s="71" t="s">
        <v>165</v>
      </c>
      <c r="B278" s="71"/>
      <c r="C278" s="7"/>
      <c r="D278" s="7"/>
      <c r="E278" s="7"/>
      <c r="F278" s="7">
        <f>F253</f>
        <v>1048576</v>
      </c>
      <c r="G278" s="7"/>
      <c r="H278" s="7"/>
      <c r="I278" s="7">
        <v>1048576</v>
      </c>
      <c r="J278" s="7">
        <v>1048576</v>
      </c>
      <c r="K278" s="29"/>
      <c r="L278" s="7">
        <v>1048576</v>
      </c>
      <c r="M278" s="52"/>
      <c r="N278" s="52"/>
      <c r="O278" s="7"/>
      <c r="P278" s="7"/>
      <c r="R278" s="7">
        <v>1048576</v>
      </c>
      <c r="W278" s="71"/>
      <c r="AA278" s="29">
        <f>1024*1024</f>
        <v>1048576</v>
      </c>
      <c r="AD278" s="29">
        <f>1024*1024</f>
        <v>1048576</v>
      </c>
      <c r="AE278" s="29">
        <f>1024*1024</f>
        <v>1048576</v>
      </c>
      <c r="AF278" s="29"/>
      <c r="AG278" s="29">
        <f>1024*1024</f>
        <v>1048576</v>
      </c>
      <c r="AH278" s="52"/>
      <c r="AJ278" s="52"/>
      <c r="AK278" s="7"/>
      <c r="AL278" s="29">
        <f>1024*1024</f>
        <v>1048576</v>
      </c>
      <c r="AM278" s="29">
        <f>1024*1024</f>
        <v>1048576</v>
      </c>
      <c r="AN278" s="29">
        <f>1024*1024</f>
        <v>1048576</v>
      </c>
      <c r="AO278" s="29"/>
      <c r="AP278" s="29"/>
    </row>
    <row r="279" spans="1:42" ht="15.75">
      <c r="A279" s="71"/>
      <c r="B279" s="71"/>
      <c r="C279" s="108"/>
      <c r="D279" s="108"/>
      <c r="E279" s="108"/>
      <c r="F279" s="108"/>
      <c r="G279" s="108"/>
      <c r="H279" s="108"/>
      <c r="I279" s="108"/>
      <c r="J279" s="108"/>
      <c r="K279" s="90"/>
      <c r="L279" s="108"/>
      <c r="M279" s="52"/>
      <c r="N279" s="52"/>
      <c r="O279" s="108"/>
      <c r="P279" s="108"/>
      <c r="R279" s="108"/>
      <c r="T279" s="90"/>
      <c r="U279" s="90"/>
      <c r="V279" s="90"/>
      <c r="W279" s="71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52"/>
      <c r="AJ279" s="52"/>
      <c r="AK279" s="108"/>
      <c r="AL279" s="90"/>
      <c r="AM279" s="90"/>
      <c r="AN279" s="90"/>
      <c r="AO279" s="90"/>
      <c r="AP279" s="90"/>
    </row>
    <row r="280" spans="1:42" ht="15.75">
      <c r="A280" s="71" t="s">
        <v>166</v>
      </c>
      <c r="B280" s="71"/>
      <c r="C280" s="7"/>
      <c r="D280" s="7"/>
      <c r="E280" s="7"/>
      <c r="F280" s="7">
        <v>3789343</v>
      </c>
      <c r="G280" s="7"/>
      <c r="H280" s="7"/>
      <c r="I280" s="7">
        <f xml:space="preserve"> 4*931328+46605</f>
        <v>3771917</v>
      </c>
      <c r="J280" s="7">
        <f xml:space="preserve"> 4*931328+47928</f>
        <v>3773240</v>
      </c>
      <c r="K280" s="7"/>
      <c r="L280" s="7">
        <f xml:space="preserve"> 4*931328+47280</f>
        <v>3772592</v>
      </c>
      <c r="M280" s="52"/>
      <c r="N280" s="52"/>
      <c r="O280" s="7"/>
      <c r="P280" s="7"/>
      <c r="R280" s="7">
        <f xml:space="preserve"> 4*931328+46527</f>
        <v>3771839</v>
      </c>
      <c r="W280" s="71"/>
      <c r="AA280" s="29">
        <f>4*931328+216667+48155</f>
        <v>3990134</v>
      </c>
      <c r="AD280" s="29">
        <f>4*931328+216667+48155</f>
        <v>3990134</v>
      </c>
      <c r="AE280" s="29">
        <f>4*931328+216667+50804</f>
        <v>3992783</v>
      </c>
      <c r="AF280" s="29"/>
      <c r="AG280" s="29">
        <f>4*931328+216667+47280</f>
        <v>3989259</v>
      </c>
      <c r="AH280" s="52"/>
      <c r="AJ280" s="52"/>
      <c r="AK280" s="7"/>
      <c r="AL280" s="29">
        <f>931328+46527</f>
        <v>977855</v>
      </c>
      <c r="AM280" s="29">
        <f>4*931328+46527</f>
        <v>3771839</v>
      </c>
      <c r="AN280" s="29">
        <f>AN255</f>
        <v>977933</v>
      </c>
      <c r="AO280" s="29"/>
      <c r="AP280" s="29"/>
    </row>
    <row r="281" spans="1:42" ht="15.75">
      <c r="A281" s="91" t="s">
        <v>83</v>
      </c>
      <c r="C281" s="28"/>
      <c r="D281" s="7"/>
      <c r="E281" s="7"/>
      <c r="F281" s="7" t="s">
        <v>88</v>
      </c>
      <c r="G281" s="7"/>
      <c r="H281" s="7"/>
      <c r="I281" s="7" t="s">
        <v>88</v>
      </c>
      <c r="J281" s="7" t="s">
        <v>88</v>
      </c>
      <c r="K281" s="29"/>
      <c r="L281" s="7" t="s">
        <v>88</v>
      </c>
      <c r="M281" s="52"/>
      <c r="N281" s="52"/>
      <c r="O281" s="28"/>
      <c r="P281" s="7"/>
      <c r="R281" s="7" t="s">
        <v>88</v>
      </c>
      <c r="W281" s="51"/>
      <c r="X281" s="85"/>
      <c r="AA281" s="29" t="s">
        <v>88</v>
      </c>
      <c r="AD281" s="29" t="s">
        <v>88</v>
      </c>
      <c r="AE281" s="29" t="s">
        <v>88</v>
      </c>
      <c r="AF281" s="29"/>
      <c r="AG281" s="29" t="s">
        <v>88</v>
      </c>
      <c r="AH281" s="52"/>
      <c r="AJ281" s="52"/>
      <c r="AK281" s="7"/>
      <c r="AL281" s="29" t="s">
        <v>88</v>
      </c>
      <c r="AM281" s="29" t="s">
        <v>88</v>
      </c>
      <c r="AN281" s="29" t="s">
        <v>88</v>
      </c>
      <c r="AO281" s="29"/>
      <c r="AP281" s="29"/>
    </row>
    <row r="282" spans="1:42" ht="15.75">
      <c r="A282" s="91" t="s">
        <v>168</v>
      </c>
      <c r="C282" s="29"/>
      <c r="D282" s="29"/>
      <c r="E282" s="29"/>
      <c r="F282" s="29" t="s">
        <v>303</v>
      </c>
      <c r="G282" s="29"/>
      <c r="H282" s="29"/>
      <c r="I282" s="29" t="s">
        <v>303</v>
      </c>
      <c r="J282" s="29" t="s">
        <v>303</v>
      </c>
      <c r="K282" s="29"/>
      <c r="L282" s="29" t="s">
        <v>303</v>
      </c>
      <c r="M282" s="52"/>
      <c r="N282" s="52"/>
      <c r="O282" s="92"/>
      <c r="P282" s="52"/>
      <c r="R282" s="29" t="s">
        <v>303</v>
      </c>
      <c r="W282" s="51"/>
      <c r="X282" s="85"/>
      <c r="AA282" s="29" t="s">
        <v>303</v>
      </c>
      <c r="AD282" s="29" t="s">
        <v>303</v>
      </c>
      <c r="AE282" s="29" t="s">
        <v>303</v>
      </c>
      <c r="AF282" s="29"/>
      <c r="AG282" s="29" t="s">
        <v>303</v>
      </c>
      <c r="AH282" s="52"/>
      <c r="AJ282" s="52"/>
      <c r="AK282" s="52"/>
      <c r="AL282" s="29" t="s">
        <v>303</v>
      </c>
      <c r="AM282" s="29" t="s">
        <v>303</v>
      </c>
      <c r="AN282" s="29" t="s">
        <v>303</v>
      </c>
      <c r="AO282" s="29"/>
      <c r="AP282" s="29"/>
    </row>
    <row r="283" spans="1:42" ht="31.5">
      <c r="A283" s="91" t="s">
        <v>170</v>
      </c>
      <c r="C283" s="28"/>
      <c r="D283" s="7"/>
      <c r="E283" s="7"/>
      <c r="F283" s="7">
        <v>0</v>
      </c>
      <c r="G283" s="7"/>
      <c r="H283" s="7"/>
      <c r="I283" s="7">
        <v>0</v>
      </c>
      <c r="J283" s="7">
        <v>0</v>
      </c>
      <c r="K283" s="29"/>
      <c r="L283" s="7">
        <v>0</v>
      </c>
      <c r="M283" s="52"/>
      <c r="N283" s="52"/>
      <c r="O283" s="28"/>
      <c r="P283" s="7"/>
      <c r="R283" s="7">
        <v>0</v>
      </c>
      <c r="W283" s="51"/>
      <c r="X283" s="92"/>
      <c r="AA283" s="29">
        <v>0</v>
      </c>
      <c r="AD283" s="29">
        <v>0</v>
      </c>
      <c r="AE283" s="29">
        <v>0</v>
      </c>
      <c r="AF283" s="29"/>
      <c r="AG283" s="29">
        <v>0</v>
      </c>
      <c r="AH283" s="52"/>
      <c r="AJ283" s="52"/>
      <c r="AK283" s="7"/>
      <c r="AL283" s="29">
        <v>0</v>
      </c>
      <c r="AM283" s="29">
        <v>0</v>
      </c>
      <c r="AN283" s="29">
        <v>0</v>
      </c>
      <c r="AO283" s="29"/>
      <c r="AP283" s="29"/>
    </row>
    <row r="284" spans="1:42" ht="31.5">
      <c r="A284" s="91" t="s">
        <v>305</v>
      </c>
      <c r="C284" s="7"/>
      <c r="D284" s="7"/>
      <c r="E284" s="7"/>
      <c r="F284" s="7"/>
      <c r="G284" s="7"/>
      <c r="H284" s="7"/>
      <c r="I284" s="7"/>
      <c r="J284" s="7"/>
      <c r="K284" s="29"/>
      <c r="L284" s="7"/>
      <c r="M284" s="52"/>
      <c r="N284" s="52"/>
      <c r="O284" s="7"/>
      <c r="P284" s="7"/>
      <c r="R284" s="7"/>
      <c r="S284" s="7"/>
      <c r="W284" s="51"/>
      <c r="AE284" s="29"/>
      <c r="AF284" s="29"/>
      <c r="AG284" s="29"/>
      <c r="AH284" s="52"/>
      <c r="AJ284" s="52"/>
      <c r="AK284" s="7"/>
      <c r="AL284" s="29"/>
      <c r="AO284" s="29"/>
      <c r="AP284" s="29"/>
    </row>
    <row r="285" spans="1:42" ht="31.5">
      <c r="A285" s="91" t="s">
        <v>306</v>
      </c>
      <c r="C285" s="7"/>
      <c r="D285" s="7"/>
      <c r="E285" s="7"/>
      <c r="F285" s="7"/>
      <c r="G285" s="7"/>
      <c r="H285" s="7"/>
      <c r="I285" s="7"/>
      <c r="J285" s="7"/>
      <c r="K285" s="29"/>
      <c r="L285" s="7"/>
      <c r="M285" s="52"/>
      <c r="N285" s="52"/>
      <c r="O285" s="7"/>
      <c r="P285" s="7"/>
      <c r="R285" s="7"/>
      <c r="S285" s="7"/>
      <c r="W285" s="51"/>
      <c r="AE285" s="29"/>
      <c r="AF285" s="29"/>
      <c r="AG285" s="29"/>
      <c r="AH285" s="52"/>
      <c r="AJ285" s="52"/>
      <c r="AK285" s="7"/>
      <c r="AL285" s="29"/>
      <c r="AO285" s="29"/>
      <c r="AP285" s="29"/>
    </row>
    <row r="286" spans="1:42">
      <c r="K286" s="29"/>
      <c r="M286" s="52"/>
      <c r="N286" s="52"/>
      <c r="Q286" s="51"/>
      <c r="R286" s="51"/>
      <c r="W286" s="51"/>
      <c r="AE286" s="29"/>
      <c r="AF286" s="29"/>
      <c r="AG286" s="29"/>
      <c r="AH286" s="52"/>
      <c r="AJ286" s="52"/>
      <c r="AK286" s="51"/>
      <c r="AL286" s="29"/>
      <c r="AO286" s="29"/>
      <c r="AP286" s="29"/>
    </row>
    <row r="287" spans="1:42" ht="15.75">
      <c r="A287" s="89" t="s">
        <v>397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</row>
    <row r="288" spans="1:42" ht="15.75">
      <c r="A288" s="83" t="s">
        <v>398</v>
      </c>
      <c r="C288" s="71"/>
      <c r="D288" s="71"/>
      <c r="E288" s="71"/>
      <c r="F288" s="71"/>
      <c r="G288" s="71"/>
      <c r="H288" s="71"/>
      <c r="I288" s="71"/>
      <c r="J288" s="71"/>
      <c r="K288" s="29"/>
      <c r="L288" s="71"/>
      <c r="M288" s="52"/>
      <c r="N288" s="52"/>
      <c r="O288" s="71"/>
      <c r="P288" s="71"/>
      <c r="Q288" s="71"/>
      <c r="R288" s="71"/>
      <c r="S288" s="71"/>
      <c r="W288" s="51"/>
      <c r="Y288" s="29">
        <f xml:space="preserve"> 23*2025</f>
        <v>46575</v>
      </c>
      <c r="AA288" s="29">
        <f>20*2025+3*8100</f>
        <v>64800</v>
      </c>
      <c r="AD288" s="29">
        <f>20*2025+3*8100</f>
        <v>64800</v>
      </c>
      <c r="AE288" s="29">
        <f>20*2025+3*8100</f>
        <v>64800</v>
      </c>
      <c r="AF288" s="29"/>
      <c r="AG288" s="29">
        <f>20*2025+3*8100</f>
        <v>64800</v>
      </c>
      <c r="AH288" s="52"/>
      <c r="AJ288" s="52"/>
      <c r="AK288" s="71"/>
      <c r="AL288" s="29"/>
      <c r="AN288" s="29">
        <v>64800</v>
      </c>
      <c r="AO288" s="29"/>
      <c r="AP288" s="29"/>
    </row>
    <row r="289" spans="1:42" ht="15.75">
      <c r="A289" s="83" t="s">
        <v>399</v>
      </c>
      <c r="C289" s="71"/>
      <c r="D289" s="71"/>
      <c r="E289" s="71"/>
      <c r="F289" s="71"/>
      <c r="G289" s="71"/>
      <c r="H289" s="71"/>
      <c r="I289" s="71"/>
      <c r="J289" s="71"/>
      <c r="K289" s="29"/>
      <c r="L289" s="71"/>
      <c r="M289" s="52"/>
      <c r="N289" s="52"/>
      <c r="O289" s="71"/>
      <c r="P289" s="71"/>
      <c r="Q289" s="71"/>
      <c r="R289" s="71"/>
      <c r="S289" s="71"/>
      <c r="W289" s="51"/>
      <c r="Y289" s="29">
        <v>0</v>
      </c>
      <c r="AA289" s="29">
        <f xml:space="preserve"> 48*2025</f>
        <v>97200</v>
      </c>
      <c r="AD289" s="29">
        <f xml:space="preserve"> 48*2025</f>
        <v>97200</v>
      </c>
      <c r="AE289" s="29">
        <f xml:space="preserve"> 48*2025</f>
        <v>97200</v>
      </c>
      <c r="AF289" s="29"/>
      <c r="AG289" s="29">
        <f xml:space="preserve"> 48*2025</f>
        <v>97200</v>
      </c>
      <c r="AH289" s="52"/>
      <c r="AJ289" s="52"/>
      <c r="AK289" s="71"/>
      <c r="AL289" s="29"/>
      <c r="AN289" s="29">
        <v>97200</v>
      </c>
      <c r="AO289" s="29"/>
      <c r="AP289" s="29"/>
    </row>
    <row r="290" spans="1:42" ht="15.75">
      <c r="A290" s="83" t="s">
        <v>400</v>
      </c>
      <c r="C290" s="71"/>
      <c r="D290" s="71"/>
      <c r="E290" s="71"/>
      <c r="F290" s="71"/>
      <c r="G290" s="71"/>
      <c r="H290" s="71"/>
      <c r="I290" s="71"/>
      <c r="J290" s="71"/>
      <c r="K290" s="29"/>
      <c r="L290" s="71"/>
      <c r="M290" s="52"/>
      <c r="N290" s="52"/>
      <c r="O290" s="71"/>
      <c r="P290" s="71"/>
      <c r="Q290" s="71"/>
      <c r="R290" s="71"/>
      <c r="S290" s="71"/>
      <c r="W290" s="51"/>
      <c r="Y290" s="29">
        <f>88*8100</f>
        <v>712800</v>
      </c>
      <c r="AA290" s="29">
        <f xml:space="preserve"> 70*8100</f>
        <v>567000</v>
      </c>
      <c r="AD290" s="29">
        <f xml:space="preserve"> 70*8100</f>
        <v>567000</v>
      </c>
      <c r="AE290" s="29">
        <f xml:space="preserve"> 70*8100</f>
        <v>567000</v>
      </c>
      <c r="AF290" s="29"/>
      <c r="AG290" s="29">
        <f xml:space="preserve"> 70*8100</f>
        <v>567000</v>
      </c>
      <c r="AH290" s="52"/>
      <c r="AJ290" s="52"/>
      <c r="AK290" s="71"/>
      <c r="AL290" s="29"/>
      <c r="AN290" s="29">
        <v>567000</v>
      </c>
      <c r="AO290" s="29"/>
      <c r="AP290" s="29"/>
    </row>
    <row r="291" spans="1:42" ht="15.75">
      <c r="A291" s="83"/>
      <c r="C291" s="71"/>
      <c r="D291" s="71"/>
      <c r="E291" s="71"/>
      <c r="F291" s="71"/>
      <c r="G291" s="71"/>
      <c r="H291" s="71"/>
      <c r="I291" s="71"/>
      <c r="J291" s="71"/>
      <c r="K291" s="29"/>
      <c r="L291" s="71"/>
      <c r="M291" s="52"/>
      <c r="N291" s="52"/>
      <c r="O291" s="71"/>
      <c r="P291" s="71"/>
      <c r="Q291" s="71"/>
      <c r="R291" s="71"/>
      <c r="S291" s="71"/>
      <c r="W291" s="51"/>
      <c r="AE291" s="29"/>
      <c r="AF291" s="29"/>
      <c r="AG291" s="29"/>
      <c r="AH291" s="52"/>
      <c r="AJ291" s="52"/>
      <c r="AK291" s="71"/>
      <c r="AL291" s="29"/>
      <c r="AO291" s="29"/>
      <c r="AP291" s="29"/>
    </row>
    <row r="292" spans="1:42" ht="15.75">
      <c r="A292" s="89" t="s">
        <v>318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</row>
    <row r="293" spans="1:42" ht="15.75">
      <c r="A293" s="83" t="s">
        <v>319</v>
      </c>
      <c r="C293" s="71"/>
      <c r="D293" s="71"/>
      <c r="E293" s="71"/>
      <c r="F293" s="71"/>
      <c r="G293" s="71"/>
      <c r="H293" s="71"/>
      <c r="I293" s="71"/>
      <c r="J293" s="71"/>
      <c r="K293" s="29"/>
      <c r="L293" s="71"/>
      <c r="M293" s="52"/>
      <c r="N293" s="52"/>
      <c r="O293" s="71"/>
      <c r="P293" s="71"/>
      <c r="Q293" s="71"/>
      <c r="R293" s="71"/>
      <c r="S293" s="71"/>
      <c r="W293" s="51"/>
      <c r="AE293" s="29"/>
      <c r="AF293" s="29"/>
      <c r="AG293" s="29"/>
      <c r="AH293" s="52"/>
      <c r="AJ293" s="52"/>
      <c r="AK293" s="71"/>
      <c r="AL293" s="29"/>
      <c r="AO293" s="29"/>
      <c r="AP293" s="29"/>
    </row>
    <row r="294" spans="1:42" ht="15.75">
      <c r="A294" s="83" t="s">
        <v>320</v>
      </c>
      <c r="C294" s="7">
        <v>35</v>
      </c>
      <c r="D294" s="7">
        <v>23</v>
      </c>
      <c r="E294" s="7">
        <v>9</v>
      </c>
      <c r="F294" s="7">
        <v>20</v>
      </c>
      <c r="G294" s="7">
        <v>35</v>
      </c>
      <c r="H294" s="71"/>
      <c r="I294" s="7">
        <v>20</v>
      </c>
      <c r="J294" s="7">
        <v>20</v>
      </c>
      <c r="K294" s="29"/>
      <c r="L294" s="7">
        <v>20</v>
      </c>
      <c r="M294" s="29">
        <v>20</v>
      </c>
      <c r="N294" s="29">
        <v>20</v>
      </c>
      <c r="O294" s="7">
        <v>35</v>
      </c>
      <c r="P294" s="71">
        <v>0</v>
      </c>
      <c r="Q294" s="7">
        <v>20</v>
      </c>
      <c r="R294" s="7">
        <v>20</v>
      </c>
      <c r="S294" s="7">
        <v>20</v>
      </c>
      <c r="T294" s="29">
        <v>20</v>
      </c>
      <c r="U294" s="29">
        <v>20</v>
      </c>
      <c r="V294" s="29">
        <v>0</v>
      </c>
      <c r="W294" s="51"/>
      <c r="X294" s="29">
        <v>35</v>
      </c>
      <c r="Y294" s="29">
        <v>23</v>
      </c>
      <c r="Z294" s="29">
        <v>9</v>
      </c>
      <c r="AA294" s="29">
        <v>20</v>
      </c>
      <c r="AB294" s="29">
        <v>35</v>
      </c>
      <c r="AC294" s="29">
        <v>9</v>
      </c>
      <c r="AD294" s="29">
        <v>20</v>
      </c>
      <c r="AE294" s="29">
        <v>20</v>
      </c>
      <c r="AF294" s="29">
        <v>13</v>
      </c>
      <c r="AG294" s="29">
        <v>20</v>
      </c>
      <c r="AH294" s="29">
        <v>20</v>
      </c>
      <c r="AI294" s="29">
        <v>20</v>
      </c>
      <c r="AJ294" s="85">
        <v>35</v>
      </c>
      <c r="AK294" s="114">
        <v>0</v>
      </c>
      <c r="AL294" s="29">
        <v>20</v>
      </c>
      <c r="AM294" s="29">
        <v>20</v>
      </c>
      <c r="AN294" s="29">
        <v>20</v>
      </c>
      <c r="AO294" s="29">
        <v>20</v>
      </c>
      <c r="AP294" s="29">
        <v>20</v>
      </c>
    </row>
    <row r="295" spans="1:42" ht="15.75">
      <c r="A295" s="83" t="s">
        <v>321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I295" s="7">
        <v>0</v>
      </c>
      <c r="J295" s="7">
        <v>0</v>
      </c>
      <c r="K295" s="29"/>
      <c r="L295" s="7">
        <v>0</v>
      </c>
      <c r="M295" s="29">
        <v>0</v>
      </c>
      <c r="N295" s="29">
        <v>0</v>
      </c>
      <c r="O295" s="7">
        <v>0</v>
      </c>
      <c r="P295" s="51">
        <v>0</v>
      </c>
      <c r="Q295" s="7">
        <v>0</v>
      </c>
      <c r="R295" s="7">
        <v>0</v>
      </c>
      <c r="S295" s="7">
        <v>0</v>
      </c>
      <c r="T295" s="29">
        <v>0</v>
      </c>
      <c r="U295" s="29">
        <v>0</v>
      </c>
      <c r="V295" s="29">
        <v>0</v>
      </c>
      <c r="W295" s="51"/>
      <c r="X295" s="29">
        <v>0</v>
      </c>
      <c r="Y295" s="29">
        <v>0</v>
      </c>
      <c r="Z295" s="29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85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</row>
    <row r="296" spans="1:42" ht="15.75">
      <c r="A296" s="83" t="s">
        <v>322</v>
      </c>
      <c r="C296" s="7">
        <v>82</v>
      </c>
      <c r="D296" s="7">
        <v>88</v>
      </c>
      <c r="E296" s="7">
        <v>21</v>
      </c>
      <c r="F296" s="7">
        <v>70</v>
      </c>
      <c r="G296" s="7">
        <v>87</v>
      </c>
      <c r="I296" s="7">
        <v>70</v>
      </c>
      <c r="J296" s="7">
        <v>70</v>
      </c>
      <c r="K296" s="29"/>
      <c r="L296" s="7">
        <v>70</v>
      </c>
      <c r="M296" s="29">
        <v>70</v>
      </c>
      <c r="N296" s="29">
        <v>70</v>
      </c>
      <c r="O296" s="7">
        <v>82</v>
      </c>
      <c r="P296" s="51">
        <v>30</v>
      </c>
      <c r="Q296" s="7">
        <v>70</v>
      </c>
      <c r="R296" s="7">
        <v>70</v>
      </c>
      <c r="S296" s="7">
        <v>70</v>
      </c>
      <c r="T296" s="29">
        <v>70</v>
      </c>
      <c r="U296" s="29">
        <v>70</v>
      </c>
      <c r="V296" s="29">
        <v>29</v>
      </c>
      <c r="W296" s="51"/>
      <c r="X296" s="29">
        <v>82</v>
      </c>
      <c r="Y296" s="29">
        <v>88</v>
      </c>
      <c r="Z296" s="29">
        <v>21</v>
      </c>
      <c r="AA296" s="29">
        <v>70</v>
      </c>
      <c r="AB296" s="29">
        <v>87</v>
      </c>
      <c r="AC296" s="29">
        <v>21</v>
      </c>
      <c r="AD296" s="29">
        <v>70</v>
      </c>
      <c r="AE296" s="29">
        <v>70</v>
      </c>
      <c r="AF296" s="29">
        <v>78</v>
      </c>
      <c r="AG296" s="29">
        <v>70</v>
      </c>
      <c r="AH296" s="29">
        <v>65</v>
      </c>
      <c r="AI296" s="29">
        <v>65</v>
      </c>
      <c r="AJ296" s="85">
        <v>82</v>
      </c>
      <c r="AK296" s="29">
        <v>30</v>
      </c>
      <c r="AL296" s="29">
        <v>70</v>
      </c>
      <c r="AM296" s="29">
        <v>70</v>
      </c>
      <c r="AN296" s="29">
        <v>70</v>
      </c>
      <c r="AO296" s="29">
        <v>70</v>
      </c>
      <c r="AP296" s="29">
        <v>70</v>
      </c>
    </row>
    <row r="297" spans="1:42" ht="15.75">
      <c r="A297" s="83" t="s">
        <v>323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I297" s="7">
        <v>0</v>
      </c>
      <c r="J297" s="7">
        <v>0</v>
      </c>
      <c r="K297" s="29"/>
      <c r="L297" s="7">
        <v>0</v>
      </c>
      <c r="M297" s="29">
        <v>0</v>
      </c>
      <c r="N297" s="29">
        <v>0</v>
      </c>
      <c r="O297" s="7">
        <v>0</v>
      </c>
      <c r="P297" s="51">
        <v>0</v>
      </c>
      <c r="Q297" s="7">
        <v>0</v>
      </c>
      <c r="R297" s="7">
        <v>0</v>
      </c>
      <c r="S297" s="7">
        <v>0</v>
      </c>
      <c r="T297" s="29">
        <v>0</v>
      </c>
      <c r="U297" s="29">
        <v>0</v>
      </c>
      <c r="V297" s="29">
        <v>0</v>
      </c>
      <c r="W297" s="51"/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85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</row>
    <row r="298" spans="1:42" ht="15.75">
      <c r="A298" s="83" t="s">
        <v>324</v>
      </c>
      <c r="C298" s="7">
        <v>57</v>
      </c>
      <c r="D298" s="7">
        <v>53</v>
      </c>
      <c r="E298" s="7">
        <v>14</v>
      </c>
      <c r="F298" s="7">
        <v>50</v>
      </c>
      <c r="G298" s="7">
        <v>57</v>
      </c>
      <c r="I298" s="7">
        <v>50</v>
      </c>
      <c r="J298" s="7">
        <v>50</v>
      </c>
      <c r="K298" s="29"/>
      <c r="L298" s="7">
        <v>50</v>
      </c>
      <c r="M298" s="29">
        <v>50</v>
      </c>
      <c r="N298" s="29">
        <v>50</v>
      </c>
      <c r="O298" s="7">
        <v>57</v>
      </c>
      <c r="P298" s="51">
        <v>30</v>
      </c>
      <c r="Q298" s="7">
        <v>50</v>
      </c>
      <c r="R298" s="7">
        <v>50</v>
      </c>
      <c r="S298" s="7">
        <v>50</v>
      </c>
      <c r="T298" s="29">
        <v>50</v>
      </c>
      <c r="U298" s="29">
        <v>50</v>
      </c>
      <c r="V298" s="29">
        <v>29</v>
      </c>
      <c r="W298" s="51"/>
      <c r="X298" s="29">
        <v>57</v>
      </c>
      <c r="Y298" s="29">
        <v>53</v>
      </c>
      <c r="Z298" s="29">
        <v>14</v>
      </c>
      <c r="AA298" s="29">
        <v>50</v>
      </c>
      <c r="AB298" s="29">
        <v>57</v>
      </c>
      <c r="AC298" s="29">
        <v>14</v>
      </c>
      <c r="AD298" s="29">
        <v>50</v>
      </c>
      <c r="AE298" s="29">
        <v>50</v>
      </c>
      <c r="AF298" s="29">
        <v>13</v>
      </c>
      <c r="AG298" s="29">
        <v>50</v>
      </c>
      <c r="AH298" s="29">
        <v>50</v>
      </c>
      <c r="AI298" s="29">
        <v>50</v>
      </c>
      <c r="AJ298" s="85">
        <v>57</v>
      </c>
      <c r="AK298" s="29">
        <v>30</v>
      </c>
      <c r="AL298" s="29">
        <v>50</v>
      </c>
      <c r="AM298" s="29">
        <v>50</v>
      </c>
      <c r="AN298" s="29">
        <v>50</v>
      </c>
      <c r="AO298" s="29">
        <v>50</v>
      </c>
      <c r="AP298" s="29">
        <v>50</v>
      </c>
    </row>
    <row r="299" spans="1:42" ht="15.75">
      <c r="A299" s="83" t="s">
        <v>325</v>
      </c>
      <c r="C299" s="7"/>
      <c r="D299" s="7"/>
      <c r="E299" s="7"/>
      <c r="F299" s="7"/>
      <c r="G299" s="7"/>
      <c r="I299" s="7"/>
      <c r="J299" s="7"/>
      <c r="L299" s="7"/>
      <c r="M299" s="52"/>
      <c r="N299" s="52"/>
      <c r="O299" s="7"/>
      <c r="Q299" s="7"/>
      <c r="R299" s="7"/>
      <c r="S299" s="7"/>
      <c r="W299" s="51"/>
      <c r="AE299" s="29"/>
      <c r="AF299" s="29"/>
      <c r="AG299" s="29"/>
      <c r="AH299" s="52"/>
      <c r="AJ299" s="85"/>
      <c r="AL299" s="29"/>
      <c r="AN299" s="29"/>
      <c r="AO299" s="29"/>
      <c r="AP299" s="29"/>
    </row>
    <row r="300" spans="1:42" ht="15.75">
      <c r="A300" s="83" t="s">
        <v>320</v>
      </c>
      <c r="C300" s="7">
        <v>0</v>
      </c>
      <c r="D300" s="7">
        <v>0</v>
      </c>
      <c r="E300" s="7">
        <v>0</v>
      </c>
      <c r="F300" s="7">
        <v>3</v>
      </c>
      <c r="G300" s="7">
        <v>0</v>
      </c>
      <c r="I300" s="7">
        <v>3</v>
      </c>
      <c r="J300" s="7">
        <v>3</v>
      </c>
      <c r="L300" s="7">
        <v>3</v>
      </c>
      <c r="M300" s="85">
        <v>1</v>
      </c>
      <c r="N300" s="85">
        <v>1</v>
      </c>
      <c r="O300" s="7">
        <v>0</v>
      </c>
      <c r="P300" s="51">
        <v>0</v>
      </c>
      <c r="Q300" s="7">
        <v>3</v>
      </c>
      <c r="R300" s="7">
        <v>3</v>
      </c>
      <c r="S300" s="7">
        <v>3</v>
      </c>
      <c r="V300" s="29">
        <v>0</v>
      </c>
      <c r="W300" s="51"/>
      <c r="AA300" s="29">
        <v>3</v>
      </c>
      <c r="AD300" s="29">
        <v>3</v>
      </c>
      <c r="AE300" s="29">
        <v>3</v>
      </c>
      <c r="AF300" s="29"/>
      <c r="AG300" s="29">
        <v>3</v>
      </c>
      <c r="AH300" s="85">
        <v>1</v>
      </c>
      <c r="AI300" s="85">
        <v>1</v>
      </c>
      <c r="AJ300" s="85"/>
      <c r="AK300" s="29">
        <v>0</v>
      </c>
      <c r="AL300" s="29">
        <v>3</v>
      </c>
      <c r="AM300" s="29">
        <v>3</v>
      </c>
      <c r="AN300" s="29">
        <v>3</v>
      </c>
      <c r="AO300" s="29"/>
      <c r="AP300" s="29"/>
    </row>
    <row r="301" spans="1:42" ht="15.75">
      <c r="A301" s="83" t="s">
        <v>321</v>
      </c>
      <c r="C301" s="7">
        <v>0</v>
      </c>
      <c r="D301" s="7">
        <v>0</v>
      </c>
      <c r="E301" s="7">
        <v>0</v>
      </c>
      <c r="F301" s="7">
        <v>12</v>
      </c>
      <c r="G301" s="7">
        <v>0</v>
      </c>
      <c r="H301"/>
      <c r="I301" s="7">
        <v>12</v>
      </c>
      <c r="J301" s="7">
        <v>12</v>
      </c>
      <c r="K301"/>
      <c r="L301" s="7">
        <v>12</v>
      </c>
      <c r="M301" s="85">
        <v>0</v>
      </c>
      <c r="N301" s="85">
        <v>0</v>
      </c>
      <c r="O301" s="7">
        <v>0</v>
      </c>
      <c r="P301" s="51">
        <v>0</v>
      </c>
      <c r="Q301" s="7">
        <v>12</v>
      </c>
      <c r="R301" s="7">
        <v>12</v>
      </c>
      <c r="S301" s="7">
        <v>12</v>
      </c>
      <c r="V301" s="29">
        <v>0</v>
      </c>
      <c r="W301" s="51"/>
      <c r="AA301" s="29">
        <v>48</v>
      </c>
      <c r="AD301" s="29">
        <v>48</v>
      </c>
      <c r="AE301" s="29">
        <v>48</v>
      </c>
      <c r="AF301" s="29"/>
      <c r="AG301" s="29">
        <v>48</v>
      </c>
      <c r="AH301" s="85">
        <v>0</v>
      </c>
      <c r="AI301" s="85">
        <v>0</v>
      </c>
      <c r="AJ301" s="85"/>
      <c r="AK301" s="29">
        <v>0</v>
      </c>
      <c r="AL301" s="29">
        <v>12</v>
      </c>
      <c r="AM301" s="29">
        <v>48</v>
      </c>
      <c r="AN301" s="29">
        <v>12</v>
      </c>
      <c r="AO301" s="29"/>
      <c r="AP301" s="29"/>
    </row>
    <row r="302" spans="1:42" ht="15.75">
      <c r="A302" s="83" t="s">
        <v>322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I302" s="7">
        <v>0</v>
      </c>
      <c r="J302" s="7">
        <v>0</v>
      </c>
      <c r="L302" s="7">
        <v>0</v>
      </c>
      <c r="M302" s="85">
        <v>83</v>
      </c>
      <c r="N302" s="85">
        <v>15</v>
      </c>
      <c r="O302" s="7">
        <v>0</v>
      </c>
      <c r="P302" s="51">
        <v>32</v>
      </c>
      <c r="Q302" s="7">
        <v>0</v>
      </c>
      <c r="R302" s="7">
        <v>0</v>
      </c>
      <c r="S302" s="7">
        <v>0</v>
      </c>
      <c r="V302" s="29">
        <v>30</v>
      </c>
      <c r="W302" s="51"/>
      <c r="AA302" s="29">
        <v>0</v>
      </c>
      <c r="AD302" s="29">
        <v>0</v>
      </c>
      <c r="AE302" s="29">
        <v>0</v>
      </c>
      <c r="AF302" s="29"/>
      <c r="AG302" s="29">
        <v>0</v>
      </c>
      <c r="AH302" s="85">
        <v>83</v>
      </c>
      <c r="AI302" s="85">
        <v>15</v>
      </c>
      <c r="AJ302" s="85"/>
      <c r="AK302" s="29">
        <v>32</v>
      </c>
      <c r="AL302" s="29">
        <v>0</v>
      </c>
      <c r="AM302" s="29">
        <v>0</v>
      </c>
      <c r="AN302" s="29">
        <v>0</v>
      </c>
      <c r="AO302" s="29"/>
      <c r="AP302" s="29"/>
    </row>
    <row r="303" spans="1:42" ht="15.75">
      <c r="A303" s="83" t="s">
        <v>323</v>
      </c>
      <c r="C303" s="7">
        <v>0</v>
      </c>
      <c r="D303" s="7">
        <v>0</v>
      </c>
      <c r="E303" s="7">
        <v>0</v>
      </c>
      <c r="F303" s="7">
        <v>12</v>
      </c>
      <c r="G303" s="7">
        <v>0</v>
      </c>
      <c r="I303" s="7">
        <v>12</v>
      </c>
      <c r="J303" s="7">
        <v>12</v>
      </c>
      <c r="L303" s="7">
        <v>12</v>
      </c>
      <c r="M303" s="85">
        <v>0</v>
      </c>
      <c r="N303" s="85">
        <v>0</v>
      </c>
      <c r="O303" s="7">
        <v>0</v>
      </c>
      <c r="P303" s="51">
        <v>0</v>
      </c>
      <c r="Q303" s="7">
        <v>3</v>
      </c>
      <c r="R303" s="7">
        <v>12</v>
      </c>
      <c r="S303" s="7">
        <v>3</v>
      </c>
      <c r="V303" s="29">
        <v>0</v>
      </c>
      <c r="W303" s="51"/>
      <c r="AA303" s="29">
        <v>12</v>
      </c>
      <c r="AD303" s="29">
        <v>12</v>
      </c>
      <c r="AE303" s="29">
        <v>12</v>
      </c>
      <c r="AF303" s="29"/>
      <c r="AG303" s="29">
        <v>12</v>
      </c>
      <c r="AH303" s="85">
        <v>0</v>
      </c>
      <c r="AI303" s="85">
        <v>0</v>
      </c>
      <c r="AJ303" s="85"/>
      <c r="AK303" s="29">
        <v>0</v>
      </c>
      <c r="AL303" s="29">
        <v>3</v>
      </c>
      <c r="AM303" s="29">
        <v>12</v>
      </c>
      <c r="AN303" s="29">
        <v>3</v>
      </c>
      <c r="AO303" s="29"/>
      <c r="AP303" s="29"/>
    </row>
    <row r="304" spans="1:42" ht="15.75">
      <c r="A304" s="83" t="s">
        <v>324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I304" s="7">
        <v>0</v>
      </c>
      <c r="J304" s="7">
        <v>0</v>
      </c>
      <c r="L304" s="7">
        <v>0</v>
      </c>
      <c r="M304" s="85">
        <v>1</v>
      </c>
      <c r="N304" s="85">
        <v>1</v>
      </c>
      <c r="O304" s="7">
        <v>0</v>
      </c>
      <c r="P304" s="51">
        <v>32</v>
      </c>
      <c r="Q304" s="7">
        <v>0</v>
      </c>
      <c r="R304" s="7">
        <v>0</v>
      </c>
      <c r="S304" s="7">
        <v>0</v>
      </c>
      <c r="V304" s="29">
        <v>30</v>
      </c>
      <c r="W304" s="51"/>
      <c r="AA304" s="29">
        <v>0</v>
      </c>
      <c r="AD304" s="29">
        <v>0</v>
      </c>
      <c r="AE304" s="29">
        <v>0</v>
      </c>
      <c r="AF304" s="29"/>
      <c r="AG304" s="29">
        <v>0</v>
      </c>
      <c r="AH304" s="85">
        <v>1</v>
      </c>
      <c r="AI304" s="85">
        <v>1</v>
      </c>
      <c r="AJ304" s="85"/>
      <c r="AK304" s="29">
        <v>32</v>
      </c>
      <c r="AL304" s="29">
        <v>0</v>
      </c>
      <c r="AM304" s="29">
        <v>0</v>
      </c>
      <c r="AN304" s="29">
        <v>0</v>
      </c>
      <c r="AO304" s="29"/>
      <c r="AP304" s="29"/>
    </row>
    <row r="305" spans="17:38">
      <c r="Q305" s="51"/>
      <c r="S305" s="29"/>
      <c r="T305" s="51"/>
      <c r="AE305" s="29"/>
      <c r="AF305" s="52"/>
      <c r="AG305" s="51"/>
      <c r="AH305" s="51"/>
      <c r="AI305" s="29"/>
      <c r="AJ305" s="52"/>
      <c r="AL305" s="29"/>
    </row>
    <row r="306" spans="17:38">
      <c r="Q306" s="51"/>
      <c r="S306" s="29"/>
      <c r="T306" s="51"/>
      <c r="AE306" s="29"/>
      <c r="AF306" s="52"/>
      <c r="AG306" s="51"/>
      <c r="AH306" s="51"/>
      <c r="AI306" s="29"/>
      <c r="AJ306" s="52"/>
      <c r="AL306" s="29"/>
    </row>
    <row r="307" spans="17:38">
      <c r="Q307" s="51"/>
      <c r="S307" s="29"/>
      <c r="T307" s="51"/>
      <c r="AE307" s="29"/>
      <c r="AF307" s="52"/>
      <c r="AG307" s="51"/>
      <c r="AH307" s="51"/>
      <c r="AI307" s="29"/>
      <c r="AJ307" s="52"/>
      <c r="AL307" s="29"/>
    </row>
    <row r="308" spans="17:38">
      <c r="Q308" s="51"/>
      <c r="S308" s="29"/>
      <c r="T308" s="51"/>
      <c r="AE308" s="29"/>
      <c r="AF308" s="52"/>
      <c r="AG308" s="51"/>
      <c r="AH308" s="51"/>
      <c r="AI308" s="29"/>
      <c r="AJ308" s="52"/>
      <c r="AL308" s="29"/>
    </row>
    <row r="309" spans="17:38">
      <c r="Q309" s="51"/>
      <c r="S309" s="29"/>
      <c r="T309" s="51"/>
      <c r="AE309" s="29"/>
      <c r="AF309" s="52"/>
      <c r="AG309" s="51"/>
      <c r="AH309" s="51"/>
      <c r="AI309" s="29"/>
      <c r="AJ309" s="52"/>
      <c r="AL309" s="29"/>
    </row>
    <row r="310" spans="17:38">
      <c r="Q310" s="51"/>
      <c r="S310" s="29"/>
      <c r="T310" s="51"/>
      <c r="AE310" s="29"/>
      <c r="AF310" s="52"/>
      <c r="AG310" s="51"/>
      <c r="AH310" s="51"/>
      <c r="AI310" s="29"/>
      <c r="AJ310" s="52"/>
      <c r="AL310" s="29"/>
    </row>
    <row r="311" spans="17:38">
      <c r="Q311" s="51"/>
      <c r="S311" s="29"/>
      <c r="T311" s="51"/>
      <c r="AE311" s="29"/>
      <c r="AF311" s="52"/>
      <c r="AG311" s="51"/>
      <c r="AH311" s="51"/>
      <c r="AI311" s="29"/>
      <c r="AJ311" s="52"/>
      <c r="AL311" s="29"/>
    </row>
    <row r="312" spans="17:38">
      <c r="Q312" s="51"/>
      <c r="S312" s="29"/>
      <c r="T312" s="51"/>
      <c r="AE312" s="29"/>
      <c r="AF312" s="52"/>
      <c r="AG312" s="51"/>
      <c r="AH312" s="51"/>
      <c r="AI312" s="29"/>
      <c r="AJ312" s="52"/>
      <c r="AL312" s="29"/>
    </row>
    <row r="313" spans="17:38">
      <c r="Q313" s="51"/>
      <c r="S313" s="29"/>
      <c r="T313" s="51"/>
      <c r="AE313" s="29"/>
      <c r="AF313" s="52"/>
      <c r="AG313" s="51"/>
      <c r="AH313" s="51"/>
      <c r="AI313" s="29"/>
      <c r="AJ313" s="52"/>
      <c r="AL313" s="29"/>
    </row>
    <row r="314" spans="17:38">
      <c r="Q314" s="51"/>
      <c r="S314" s="29"/>
      <c r="T314" s="51"/>
      <c r="AE314" s="29"/>
      <c r="AF314" s="52"/>
      <c r="AG314" s="51"/>
      <c r="AH314" s="51"/>
      <c r="AI314" s="29"/>
      <c r="AJ314" s="52"/>
      <c r="AL314" s="29"/>
    </row>
    <row r="315" spans="17:38">
      <c r="Q315" s="51"/>
      <c r="S315" s="29"/>
      <c r="T315" s="51"/>
      <c r="AE315" s="29"/>
      <c r="AF315" s="52"/>
      <c r="AG315" s="51"/>
      <c r="AH315" s="51"/>
      <c r="AI315" s="29"/>
      <c r="AJ315" s="52"/>
      <c r="AL315" s="29"/>
    </row>
    <row r="316" spans="17:38">
      <c r="Q316" s="51"/>
      <c r="S316" s="29"/>
      <c r="T316" s="51"/>
      <c r="AE316" s="29"/>
      <c r="AF316" s="52"/>
      <c r="AG316" s="51"/>
      <c r="AH316" s="51"/>
      <c r="AI316" s="29"/>
      <c r="AJ316" s="52"/>
      <c r="AL316" s="29"/>
    </row>
    <row r="317" spans="17:38">
      <c r="Q317" s="51"/>
      <c r="S317" s="29"/>
      <c r="T317" s="51"/>
      <c r="AE317" s="29"/>
      <c r="AF317" s="52"/>
      <c r="AG317" s="51"/>
      <c r="AH317" s="51"/>
      <c r="AI317" s="29"/>
      <c r="AJ317" s="52"/>
      <c r="AL317" s="29"/>
    </row>
    <row r="318" spans="17:38">
      <c r="Q318" s="51"/>
      <c r="S318" s="29"/>
      <c r="T318" s="51"/>
      <c r="AE318" s="29"/>
      <c r="AF318" s="52"/>
      <c r="AG318" s="51"/>
      <c r="AH318" s="51"/>
      <c r="AI318" s="29"/>
      <c r="AJ318" s="52"/>
      <c r="AL318" s="29"/>
    </row>
    <row r="319" spans="17:38">
      <c r="Q319" s="51"/>
      <c r="S319" s="29"/>
      <c r="T319" s="51"/>
      <c r="AE319" s="29"/>
      <c r="AF319" s="52"/>
      <c r="AG319" s="51"/>
      <c r="AH319" s="51"/>
      <c r="AI319" s="29"/>
      <c r="AJ319" s="52"/>
      <c r="AL319" s="29"/>
    </row>
    <row r="320" spans="17:38">
      <c r="Q320" s="51"/>
      <c r="S320" s="29"/>
      <c r="T320" s="51"/>
      <c r="AE320" s="29"/>
      <c r="AF320" s="52"/>
      <c r="AG320" s="51"/>
      <c r="AH320" s="51"/>
      <c r="AI320" s="29"/>
      <c r="AJ320" s="52"/>
      <c r="AL320" s="29"/>
    </row>
    <row r="321" spans="17:38">
      <c r="Q321" s="51"/>
      <c r="S321" s="29"/>
      <c r="T321" s="51"/>
      <c r="AE321" s="29"/>
      <c r="AF321" s="52"/>
      <c r="AG321" s="51"/>
      <c r="AH321" s="51"/>
      <c r="AI321" s="29"/>
      <c r="AJ321" s="52"/>
      <c r="AL321" s="29"/>
    </row>
    <row r="322" spans="17:38">
      <c r="Q322" s="51"/>
      <c r="S322" s="29"/>
      <c r="T322" s="51"/>
      <c r="AE322" s="29"/>
      <c r="AF322" s="52"/>
      <c r="AG322" s="51"/>
      <c r="AH322" s="51"/>
      <c r="AI322" s="29"/>
      <c r="AJ322" s="52"/>
      <c r="AL322" s="29"/>
    </row>
    <row r="323" spans="17:38">
      <c r="Q323" s="51"/>
      <c r="S323" s="29"/>
      <c r="T323" s="51"/>
      <c r="AE323" s="29"/>
      <c r="AF323" s="52"/>
      <c r="AG323" s="51"/>
      <c r="AH323" s="51"/>
      <c r="AI323" s="29"/>
      <c r="AJ323" s="52"/>
      <c r="AL323" s="29"/>
    </row>
    <row r="324" spans="17:38">
      <c r="Q324" s="51"/>
      <c r="S324" s="29"/>
      <c r="T324" s="51"/>
      <c r="AE324" s="29"/>
      <c r="AF324" s="52"/>
      <c r="AG324" s="51"/>
      <c r="AH324" s="51"/>
      <c r="AI324" s="29"/>
      <c r="AJ324" s="52"/>
      <c r="AL324" s="29"/>
    </row>
    <row r="325" spans="17:38">
      <c r="Q325" s="51"/>
      <c r="S325" s="29"/>
      <c r="T325" s="51"/>
      <c r="AE325" s="29"/>
      <c r="AF325" s="52"/>
      <c r="AG325" s="51"/>
      <c r="AH325" s="51"/>
      <c r="AI325" s="29"/>
      <c r="AJ325" s="52"/>
      <c r="AL325" s="29"/>
    </row>
    <row r="326" spans="17:38">
      <c r="Q326" s="51"/>
      <c r="S326" s="29"/>
      <c r="T326" s="51"/>
      <c r="AE326" s="29"/>
      <c r="AF326" s="52"/>
      <c r="AG326" s="51"/>
      <c r="AH326" s="51"/>
      <c r="AI326" s="29"/>
      <c r="AJ326" s="52"/>
      <c r="AL326" s="29"/>
    </row>
    <row r="327" spans="17:38">
      <c r="Q327" s="51"/>
      <c r="S327" s="29"/>
      <c r="T327" s="51"/>
      <c r="AE327" s="29"/>
      <c r="AF327" s="52"/>
      <c r="AG327" s="51"/>
      <c r="AH327" s="51"/>
      <c r="AI327" s="29"/>
      <c r="AJ327" s="52"/>
      <c r="AL327" s="29"/>
    </row>
    <row r="328" spans="17:38">
      <c r="Q328" s="51"/>
      <c r="S328" s="29"/>
      <c r="T328" s="51"/>
      <c r="AE328" s="29"/>
      <c r="AF328" s="52"/>
      <c r="AG328" s="51"/>
      <c r="AH328" s="51"/>
      <c r="AI328" s="29"/>
      <c r="AJ328" s="52"/>
      <c r="AL328" s="29"/>
    </row>
    <row r="329" spans="17:38">
      <c r="Q329" s="51"/>
      <c r="S329" s="29"/>
      <c r="T329" s="51"/>
      <c r="AE329" s="29"/>
      <c r="AF329" s="52"/>
      <c r="AG329" s="51"/>
      <c r="AH329" s="51"/>
      <c r="AI329" s="29"/>
      <c r="AJ329" s="52"/>
      <c r="AL329" s="29"/>
    </row>
    <row r="330" spans="17:38">
      <c r="Q330" s="51"/>
      <c r="S330" s="29"/>
      <c r="T330" s="51"/>
      <c r="AE330" s="29"/>
      <c r="AF330" s="52"/>
      <c r="AG330" s="51"/>
      <c r="AH330" s="51"/>
      <c r="AI330" s="29"/>
      <c r="AJ330" s="52"/>
      <c r="AL330" s="29"/>
    </row>
    <row r="331" spans="17:38">
      <c r="Q331" s="51"/>
      <c r="S331" s="29"/>
      <c r="T331" s="51"/>
      <c r="AE331" s="29"/>
      <c r="AF331" s="52"/>
      <c r="AG331" s="51"/>
      <c r="AH331" s="51"/>
      <c r="AI331" s="29"/>
      <c r="AJ331" s="52"/>
      <c r="AL331" s="29"/>
    </row>
    <row r="332" spans="17:38">
      <c r="Q332" s="51"/>
      <c r="S332" s="29"/>
      <c r="T332" s="51"/>
      <c r="AE332" s="29"/>
      <c r="AF332" s="52"/>
      <c r="AG332" s="51"/>
      <c r="AH332" s="51"/>
      <c r="AI332" s="29"/>
      <c r="AJ332" s="52"/>
      <c r="AL332" s="29"/>
    </row>
    <row r="333" spans="17:38">
      <c r="Q333" s="51"/>
      <c r="S333" s="29"/>
      <c r="T333" s="51"/>
      <c r="AE333" s="29"/>
      <c r="AF333" s="52"/>
      <c r="AG333" s="51"/>
      <c r="AH333" s="51"/>
      <c r="AI333" s="29"/>
      <c r="AJ333" s="52"/>
      <c r="AL333" s="29"/>
    </row>
    <row r="334" spans="17:38">
      <c r="Q334" s="51"/>
      <c r="S334" s="29"/>
      <c r="T334" s="51"/>
      <c r="AE334" s="29"/>
      <c r="AF334" s="52"/>
      <c r="AG334" s="51"/>
      <c r="AH334" s="51"/>
      <c r="AI334" s="29"/>
      <c r="AJ334" s="52"/>
      <c r="AL334" s="29"/>
    </row>
    <row r="335" spans="17:38">
      <c r="Q335" s="51"/>
      <c r="S335" s="29"/>
      <c r="T335" s="51"/>
      <c r="AE335" s="29"/>
      <c r="AF335" s="52"/>
      <c r="AG335" s="51"/>
      <c r="AH335" s="51"/>
      <c r="AI335" s="29"/>
      <c r="AJ335" s="52"/>
      <c r="AL335" s="29"/>
    </row>
    <row r="336" spans="17:38">
      <c r="Q336" s="51"/>
      <c r="S336" s="29"/>
      <c r="T336" s="51"/>
      <c r="AE336" s="29"/>
      <c r="AF336" s="52"/>
      <c r="AG336" s="51"/>
      <c r="AH336" s="51"/>
      <c r="AI336" s="29"/>
      <c r="AJ336" s="52"/>
      <c r="AL336" s="29"/>
    </row>
    <row r="337" spans="17:38">
      <c r="Q337" s="51"/>
      <c r="S337" s="29"/>
      <c r="T337" s="51"/>
      <c r="AE337" s="29"/>
      <c r="AF337" s="52"/>
      <c r="AG337" s="51"/>
      <c r="AH337" s="51"/>
      <c r="AI337" s="29"/>
      <c r="AJ337" s="52"/>
      <c r="AL337" s="29"/>
    </row>
    <row r="338" spans="17:38">
      <c r="Q338" s="51"/>
      <c r="S338" s="29"/>
      <c r="T338" s="51"/>
      <c r="AE338" s="29"/>
      <c r="AF338" s="52"/>
      <c r="AG338" s="51"/>
      <c r="AH338" s="51"/>
      <c r="AI338" s="29"/>
      <c r="AJ338" s="52"/>
      <c r="AL338" s="29"/>
    </row>
    <row r="339" spans="17:38">
      <c r="Q339" s="51"/>
      <c r="S339" s="29"/>
      <c r="T339" s="51"/>
      <c r="AE339" s="29"/>
      <c r="AF339" s="52"/>
      <c r="AG339" s="51"/>
      <c r="AH339" s="51"/>
      <c r="AI339" s="29"/>
      <c r="AJ339" s="52"/>
      <c r="AL339" s="29"/>
    </row>
    <row r="340" spans="17:38">
      <c r="Q340" s="51"/>
      <c r="S340" s="29"/>
      <c r="T340" s="51"/>
      <c r="AE340" s="29"/>
      <c r="AF340" s="52"/>
      <c r="AG340" s="51"/>
      <c r="AH340" s="51"/>
      <c r="AI340" s="29"/>
      <c r="AJ340" s="52"/>
      <c r="AL340" s="29"/>
    </row>
    <row r="341" spans="17:38">
      <c r="Q341" s="51"/>
      <c r="S341" s="29"/>
      <c r="T341" s="51"/>
      <c r="AE341" s="29"/>
      <c r="AF341" s="52"/>
      <c r="AG341" s="51"/>
      <c r="AH341" s="51"/>
      <c r="AI341" s="29"/>
      <c r="AJ341" s="52"/>
      <c r="AL341" s="29"/>
    </row>
    <row r="342" spans="17:38">
      <c r="Q342" s="51"/>
      <c r="S342" s="29"/>
      <c r="T342" s="51"/>
      <c r="AE342" s="29"/>
      <c r="AF342" s="52"/>
      <c r="AG342" s="51"/>
      <c r="AH342" s="51"/>
      <c r="AI342" s="29"/>
      <c r="AJ342" s="52"/>
      <c r="AL342" s="29"/>
    </row>
    <row r="343" spans="17:38">
      <c r="Q343" s="51"/>
      <c r="S343" s="29"/>
      <c r="T343" s="51"/>
      <c r="AE343" s="29"/>
      <c r="AF343" s="52"/>
      <c r="AG343" s="51"/>
      <c r="AH343" s="51"/>
      <c r="AI343" s="29"/>
      <c r="AJ343" s="52"/>
      <c r="AL343" s="29"/>
    </row>
    <row r="344" spans="17:38">
      <c r="Q344" s="51"/>
      <c r="S344" s="29"/>
      <c r="T344" s="51"/>
      <c r="AE344" s="29"/>
      <c r="AF344" s="52"/>
      <c r="AG344" s="51"/>
      <c r="AH344" s="51"/>
      <c r="AI344" s="29"/>
      <c r="AJ344" s="52"/>
      <c r="AL344" s="29"/>
    </row>
    <row r="345" spans="17:38">
      <c r="Q345" s="51"/>
      <c r="S345" s="29"/>
      <c r="T345" s="51"/>
      <c r="AE345" s="29"/>
      <c r="AF345" s="52"/>
      <c r="AG345" s="51"/>
      <c r="AH345" s="51"/>
      <c r="AI345" s="29"/>
      <c r="AJ345" s="52"/>
      <c r="AL345" s="29"/>
    </row>
    <row r="346" spans="17:38">
      <c r="Q346" s="51"/>
      <c r="S346" s="29"/>
      <c r="T346" s="51"/>
      <c r="AE346" s="29"/>
      <c r="AF346" s="52"/>
      <c r="AG346" s="51"/>
      <c r="AH346" s="51"/>
      <c r="AI346" s="29"/>
      <c r="AJ346" s="52"/>
      <c r="AL346" s="29"/>
    </row>
    <row r="347" spans="17:38">
      <c r="Q347" s="51"/>
      <c r="S347" s="29"/>
      <c r="T347" s="51"/>
      <c r="AE347" s="29"/>
      <c r="AF347" s="52"/>
      <c r="AG347" s="51"/>
      <c r="AH347" s="51"/>
      <c r="AI347" s="29"/>
      <c r="AJ347" s="52"/>
      <c r="AL347" s="29"/>
    </row>
    <row r="348" spans="17:38">
      <c r="Q348" s="51"/>
      <c r="S348" s="29"/>
      <c r="T348" s="51"/>
      <c r="AE348" s="29"/>
      <c r="AF348" s="52"/>
      <c r="AG348" s="51"/>
      <c r="AH348" s="51"/>
      <c r="AI348" s="29"/>
      <c r="AJ348" s="52"/>
      <c r="AL348" s="29"/>
    </row>
    <row r="349" spans="17:38">
      <c r="Q349" s="51"/>
      <c r="S349" s="29"/>
      <c r="T349" s="51"/>
      <c r="AE349" s="29"/>
      <c r="AF349" s="52"/>
      <c r="AG349" s="51"/>
      <c r="AH349" s="51"/>
      <c r="AI349" s="29"/>
      <c r="AJ349" s="52"/>
      <c r="AL349" s="29"/>
    </row>
    <row r="350" spans="17:38">
      <c r="Q350" s="51"/>
      <c r="S350" s="29"/>
      <c r="T350" s="51"/>
      <c r="AE350" s="29"/>
      <c r="AF350" s="52"/>
      <c r="AG350" s="51"/>
      <c r="AH350" s="51"/>
      <c r="AI350" s="29"/>
      <c r="AJ350" s="52"/>
      <c r="AL350" s="29"/>
    </row>
    <row r="351" spans="17:38">
      <c r="Q351" s="51"/>
      <c r="S351" s="29"/>
      <c r="T351" s="51"/>
      <c r="AE351" s="29"/>
      <c r="AF351" s="52"/>
      <c r="AG351" s="51"/>
      <c r="AH351" s="51"/>
      <c r="AI351" s="29"/>
      <c r="AJ351" s="52"/>
      <c r="AL351" s="29"/>
    </row>
    <row r="352" spans="17:38">
      <c r="Q352" s="51"/>
      <c r="S352" s="29"/>
      <c r="T352" s="51"/>
      <c r="AE352" s="29"/>
      <c r="AF352" s="52"/>
      <c r="AG352" s="51"/>
      <c r="AH352" s="51"/>
      <c r="AI352" s="29"/>
      <c r="AJ352" s="52"/>
      <c r="AL352" s="29"/>
    </row>
    <row r="353" spans="17:38">
      <c r="Q353" s="51"/>
      <c r="S353" s="29"/>
      <c r="T353" s="51"/>
      <c r="AE353" s="29"/>
      <c r="AF353" s="52"/>
      <c r="AG353" s="51"/>
      <c r="AH353" s="51"/>
      <c r="AI353" s="29"/>
      <c r="AJ353" s="52"/>
      <c r="AL353" s="29"/>
    </row>
    <row r="354" spans="17:38">
      <c r="Q354" s="51"/>
      <c r="S354" s="29"/>
      <c r="T354" s="51"/>
      <c r="AE354" s="29"/>
      <c r="AF354" s="52"/>
      <c r="AG354" s="51"/>
      <c r="AH354" s="51"/>
      <c r="AI354" s="29"/>
      <c r="AJ354" s="52"/>
      <c r="AL354" s="29"/>
    </row>
    <row r="355" spans="17:38">
      <c r="Q355" s="51"/>
      <c r="S355" s="29"/>
      <c r="T355" s="51"/>
      <c r="AE355" s="29"/>
      <c r="AF355" s="52"/>
      <c r="AG355" s="51"/>
      <c r="AH355" s="51"/>
      <c r="AI355" s="29"/>
      <c r="AJ355" s="52"/>
      <c r="AL355" s="29"/>
    </row>
    <row r="356" spans="17:38">
      <c r="Q356" s="51"/>
      <c r="S356" s="29"/>
      <c r="T356" s="51"/>
      <c r="AE356" s="29"/>
      <c r="AF356" s="52"/>
      <c r="AG356" s="51"/>
      <c r="AH356" s="51"/>
      <c r="AI356" s="29"/>
      <c r="AJ356" s="52"/>
      <c r="AL356" s="29"/>
    </row>
    <row r="357" spans="17:38">
      <c r="Q357" s="51"/>
      <c r="S357" s="29"/>
      <c r="T357" s="51"/>
      <c r="AE357" s="29"/>
      <c r="AF357" s="52"/>
      <c r="AG357" s="51"/>
      <c r="AH357" s="51"/>
      <c r="AI357" s="29"/>
      <c r="AJ357" s="52"/>
      <c r="AL357" s="29"/>
    </row>
    <row r="358" spans="17:38">
      <c r="Q358" s="51"/>
      <c r="S358" s="29"/>
      <c r="T358" s="51"/>
      <c r="AE358" s="29"/>
      <c r="AF358" s="52"/>
      <c r="AG358" s="51"/>
      <c r="AH358" s="51"/>
      <c r="AI358" s="29"/>
      <c r="AJ358" s="52"/>
      <c r="AL358" s="29"/>
    </row>
    <row r="359" spans="17:38">
      <c r="Q359" s="51"/>
      <c r="S359" s="29"/>
      <c r="T359" s="51"/>
      <c r="AE359" s="29"/>
      <c r="AF359" s="52"/>
      <c r="AG359" s="51"/>
      <c r="AH359" s="51"/>
      <c r="AI359" s="29"/>
      <c r="AJ359" s="52"/>
      <c r="AL359" s="29"/>
    </row>
    <row r="360" spans="17:38">
      <c r="Q360" s="51"/>
      <c r="S360" s="29"/>
      <c r="T360" s="51"/>
      <c r="AE360" s="29"/>
      <c r="AF360" s="52"/>
      <c r="AG360" s="51"/>
      <c r="AH360" s="51"/>
      <c r="AI360" s="29"/>
      <c r="AJ360" s="52"/>
      <c r="AL360" s="29"/>
    </row>
    <row r="361" spans="17:38">
      <c r="Q361" s="51"/>
      <c r="S361" s="29"/>
      <c r="T361" s="51"/>
      <c r="AE361" s="29"/>
      <c r="AF361" s="52"/>
      <c r="AG361" s="51"/>
      <c r="AH361" s="51"/>
      <c r="AI361" s="29"/>
      <c r="AJ361" s="52"/>
      <c r="AL361" s="29"/>
    </row>
    <row r="362" spans="17:38">
      <c r="Q362" s="51"/>
      <c r="S362" s="29"/>
      <c r="T362" s="51"/>
      <c r="AE362" s="29"/>
      <c r="AF362" s="52"/>
      <c r="AG362" s="51"/>
      <c r="AH362" s="51"/>
      <c r="AI362" s="29"/>
      <c r="AJ362" s="52"/>
      <c r="AL362" s="29"/>
    </row>
    <row r="363" spans="17:38">
      <c r="Q363" s="51"/>
      <c r="S363" s="29"/>
      <c r="T363" s="51"/>
      <c r="AE363" s="29"/>
      <c r="AF363" s="52"/>
      <c r="AG363" s="51"/>
      <c r="AH363" s="51"/>
      <c r="AI363" s="29"/>
      <c r="AJ363" s="52"/>
      <c r="AL363" s="29"/>
    </row>
    <row r="364" spans="17:38">
      <c r="Q364" s="51"/>
      <c r="S364" s="29"/>
      <c r="T364" s="51"/>
      <c r="AE364" s="29"/>
      <c r="AF364" s="52"/>
      <c r="AG364" s="51"/>
      <c r="AH364" s="51"/>
      <c r="AI364" s="29"/>
      <c r="AJ364" s="52"/>
      <c r="AL364" s="29"/>
    </row>
    <row r="365" spans="17:38">
      <c r="Q365" s="51"/>
      <c r="S365" s="29"/>
      <c r="T365" s="51"/>
      <c r="AE365" s="29"/>
      <c r="AF365" s="52"/>
      <c r="AG365" s="51"/>
      <c r="AH365" s="51"/>
      <c r="AI365" s="29"/>
      <c r="AJ365" s="52"/>
      <c r="AL365" s="29"/>
    </row>
    <row r="366" spans="17:38">
      <c r="Q366" s="51"/>
      <c r="S366" s="29"/>
      <c r="T366" s="51"/>
      <c r="AE366" s="29"/>
      <c r="AF366" s="52"/>
      <c r="AG366" s="51"/>
      <c r="AH366" s="51"/>
      <c r="AI366" s="29"/>
      <c r="AJ366" s="52"/>
      <c r="AL366" s="29"/>
    </row>
    <row r="367" spans="17:38">
      <c r="Q367" s="51"/>
      <c r="S367" s="29"/>
      <c r="T367" s="51"/>
      <c r="AE367" s="29"/>
      <c r="AF367" s="52"/>
      <c r="AG367" s="51"/>
      <c r="AH367" s="51"/>
      <c r="AI367" s="29"/>
      <c r="AJ367" s="52"/>
      <c r="AL367" s="29"/>
    </row>
    <row r="368" spans="17:38">
      <c r="Q368" s="51"/>
      <c r="S368" s="29"/>
      <c r="T368" s="51"/>
      <c r="AE368" s="29"/>
      <c r="AF368" s="52"/>
      <c r="AG368" s="51"/>
      <c r="AH368" s="51"/>
      <c r="AI368" s="29"/>
      <c r="AJ368" s="52"/>
      <c r="AL368" s="29"/>
    </row>
    <row r="369" spans="17:38">
      <c r="Q369" s="51"/>
      <c r="S369" s="29"/>
      <c r="T369" s="51"/>
      <c r="AE369" s="29"/>
      <c r="AF369" s="52"/>
      <c r="AG369" s="51"/>
      <c r="AH369" s="51"/>
      <c r="AI369" s="29"/>
      <c r="AJ369" s="52"/>
      <c r="AL369" s="29"/>
    </row>
    <row r="370" spans="17:38">
      <c r="Q370" s="51"/>
      <c r="S370" s="29"/>
      <c r="T370" s="51"/>
      <c r="AE370" s="29"/>
      <c r="AF370" s="52"/>
      <c r="AG370" s="51"/>
      <c r="AH370" s="51"/>
      <c r="AI370" s="29"/>
      <c r="AJ370" s="52"/>
      <c r="AL370" s="29"/>
    </row>
    <row r="371" spans="17:38">
      <c r="Q371" s="51"/>
      <c r="S371" s="29"/>
      <c r="T371" s="51"/>
      <c r="AE371" s="29"/>
      <c r="AF371" s="52"/>
      <c r="AG371" s="51"/>
      <c r="AH371" s="51"/>
      <c r="AI371" s="29"/>
      <c r="AJ371" s="52"/>
      <c r="AL371" s="29"/>
    </row>
    <row r="372" spans="17:38">
      <c r="Q372" s="51"/>
      <c r="S372" s="29"/>
      <c r="T372" s="51"/>
      <c r="AE372" s="29"/>
      <c r="AF372" s="52"/>
      <c r="AG372" s="51"/>
      <c r="AH372" s="51"/>
      <c r="AI372" s="29"/>
      <c r="AJ372" s="52"/>
      <c r="AL372" s="29"/>
    </row>
    <row r="373" spans="17:38">
      <c r="Q373" s="51"/>
      <c r="S373" s="29"/>
      <c r="T373" s="51"/>
      <c r="AE373" s="29"/>
      <c r="AF373" s="52"/>
      <c r="AG373" s="51"/>
      <c r="AH373" s="51"/>
      <c r="AI373" s="29"/>
      <c r="AJ373" s="52"/>
      <c r="AL373" s="29"/>
    </row>
    <row r="374" spans="17:38">
      <c r="Q374" s="51"/>
      <c r="S374" s="29"/>
      <c r="T374" s="51"/>
      <c r="AE374" s="29"/>
      <c r="AF374" s="52"/>
      <c r="AG374" s="51"/>
      <c r="AH374" s="51"/>
      <c r="AI374" s="29"/>
      <c r="AJ374" s="52"/>
      <c r="AL374" s="29"/>
    </row>
    <row r="375" spans="17:38">
      <c r="Q375" s="51"/>
      <c r="S375" s="29"/>
      <c r="T375" s="51"/>
      <c r="AE375" s="29"/>
      <c r="AF375" s="52"/>
      <c r="AG375" s="51"/>
      <c r="AH375" s="51"/>
      <c r="AI375" s="29"/>
      <c r="AJ375" s="52"/>
      <c r="AL375" s="29"/>
    </row>
    <row r="376" spans="17:38">
      <c r="Q376" s="51"/>
      <c r="S376" s="29"/>
      <c r="T376" s="51"/>
      <c r="AE376" s="29"/>
      <c r="AF376" s="52"/>
      <c r="AG376" s="51"/>
      <c r="AH376" s="51"/>
      <c r="AI376" s="29"/>
      <c r="AJ376" s="52"/>
      <c r="AL376" s="29"/>
    </row>
    <row r="377" spans="17:38">
      <c r="Q377" s="51"/>
      <c r="S377" s="29"/>
      <c r="T377" s="51"/>
      <c r="AE377" s="29"/>
      <c r="AF377" s="52"/>
      <c r="AG377" s="51"/>
      <c r="AH377" s="51"/>
      <c r="AI377" s="29"/>
      <c r="AJ377" s="52"/>
      <c r="AL377" s="29"/>
    </row>
    <row r="378" spans="17:38">
      <c r="Q378" s="51"/>
      <c r="S378" s="29"/>
      <c r="T378" s="51"/>
      <c r="AE378" s="29"/>
      <c r="AF378" s="52"/>
      <c r="AG378" s="51"/>
      <c r="AH378" s="51"/>
      <c r="AI378" s="29"/>
      <c r="AJ378" s="52"/>
      <c r="AL378" s="29"/>
    </row>
    <row r="379" spans="17:38">
      <c r="Q379" s="51"/>
      <c r="S379" s="29"/>
      <c r="T379" s="51"/>
      <c r="AE379" s="29"/>
      <c r="AF379" s="52"/>
      <c r="AG379" s="51"/>
      <c r="AH379" s="51"/>
      <c r="AI379" s="29"/>
      <c r="AJ379" s="52"/>
      <c r="AL379" s="29"/>
    </row>
    <row r="380" spans="17:38">
      <c r="Q380" s="51"/>
      <c r="S380" s="29"/>
      <c r="T380" s="51"/>
      <c r="AE380" s="29"/>
      <c r="AF380" s="52"/>
      <c r="AG380" s="51"/>
      <c r="AH380" s="51"/>
      <c r="AI380" s="29"/>
      <c r="AJ380" s="52"/>
      <c r="AL380" s="29"/>
    </row>
    <row r="381" spans="17:38">
      <c r="Q381" s="51"/>
      <c r="S381" s="29"/>
      <c r="T381" s="51"/>
      <c r="AE381" s="29"/>
      <c r="AF381" s="52"/>
      <c r="AG381" s="51"/>
      <c r="AH381" s="51"/>
      <c r="AI381" s="29"/>
      <c r="AJ381" s="52"/>
      <c r="AL381" s="29"/>
    </row>
    <row r="382" spans="17:38">
      <c r="Q382" s="51"/>
      <c r="S382" s="29"/>
      <c r="T382" s="51"/>
      <c r="AE382" s="29"/>
      <c r="AF382" s="52"/>
      <c r="AG382" s="51"/>
      <c r="AH382" s="51"/>
      <c r="AI382" s="29"/>
      <c r="AJ382" s="52"/>
      <c r="AL382" s="29"/>
    </row>
    <row r="383" spans="17:38">
      <c r="Q383" s="51"/>
      <c r="S383" s="29"/>
      <c r="T383" s="51"/>
      <c r="AE383" s="29"/>
      <c r="AF383" s="52"/>
      <c r="AG383" s="51"/>
      <c r="AH383" s="51"/>
      <c r="AI383" s="29"/>
      <c r="AJ383" s="52"/>
      <c r="AL383" s="29"/>
    </row>
    <row r="384" spans="17:38">
      <c r="Q384" s="51"/>
      <c r="S384" s="29"/>
      <c r="T384" s="51"/>
      <c r="AE384" s="29"/>
      <c r="AF384" s="52"/>
      <c r="AG384" s="51"/>
      <c r="AH384" s="51"/>
      <c r="AI384" s="29"/>
      <c r="AJ384" s="52"/>
      <c r="AL384" s="29"/>
    </row>
    <row r="385" spans="17:38">
      <c r="Q385" s="51"/>
      <c r="S385" s="29"/>
      <c r="T385" s="51"/>
      <c r="AE385" s="29"/>
      <c r="AF385" s="52"/>
      <c r="AG385" s="51"/>
      <c r="AH385" s="51"/>
      <c r="AI385" s="29"/>
      <c r="AJ385" s="52"/>
      <c r="AL385" s="29"/>
    </row>
    <row r="386" spans="17:38">
      <c r="Q386" s="51"/>
      <c r="S386" s="29"/>
      <c r="T386" s="51"/>
      <c r="AE386" s="29"/>
      <c r="AF386" s="52"/>
      <c r="AG386" s="51"/>
      <c r="AH386" s="51"/>
      <c r="AI386" s="29"/>
      <c r="AJ386" s="52"/>
      <c r="AL386" s="29"/>
    </row>
    <row r="387" spans="17:38">
      <c r="Q387" s="51"/>
      <c r="S387" s="29"/>
      <c r="T387" s="51"/>
      <c r="AE387" s="29"/>
      <c r="AF387" s="52"/>
      <c r="AG387" s="51"/>
      <c r="AH387" s="51"/>
      <c r="AI387" s="29"/>
      <c r="AJ387" s="52"/>
      <c r="AL387" s="29"/>
    </row>
    <row r="388" spans="17:38">
      <c r="Q388" s="51"/>
      <c r="S388" s="29"/>
      <c r="T388" s="51"/>
      <c r="AE388" s="29"/>
      <c r="AF388" s="52"/>
      <c r="AG388" s="51"/>
      <c r="AH388" s="51"/>
      <c r="AI388" s="29"/>
      <c r="AJ388" s="52"/>
      <c r="AL388" s="29"/>
    </row>
    <row r="389" spans="17:38">
      <c r="Q389" s="51"/>
      <c r="S389" s="29"/>
      <c r="T389" s="51"/>
      <c r="AE389" s="29"/>
      <c r="AF389" s="52"/>
      <c r="AG389" s="51"/>
      <c r="AH389" s="51"/>
      <c r="AI389" s="29"/>
      <c r="AJ389" s="52"/>
      <c r="AL389" s="29"/>
    </row>
    <row r="390" spans="17:38">
      <c r="Q390" s="51"/>
      <c r="S390" s="29"/>
      <c r="T390" s="51"/>
      <c r="AE390" s="29"/>
      <c r="AF390" s="52"/>
      <c r="AG390" s="51"/>
      <c r="AH390" s="51"/>
      <c r="AI390" s="29"/>
      <c r="AJ390" s="52"/>
      <c r="AL390" s="29"/>
    </row>
    <row r="391" spans="17:38">
      <c r="Q391" s="51"/>
      <c r="S391" s="29"/>
      <c r="T391" s="51"/>
      <c r="AE391" s="29"/>
      <c r="AF391" s="52"/>
      <c r="AG391" s="51"/>
      <c r="AH391" s="51"/>
      <c r="AI391" s="29"/>
      <c r="AJ391" s="52"/>
      <c r="AL391" s="29"/>
    </row>
    <row r="392" spans="17:38">
      <c r="Q392" s="51"/>
      <c r="S392" s="29"/>
      <c r="T392" s="51"/>
      <c r="AE392" s="29"/>
      <c r="AF392" s="52"/>
      <c r="AG392" s="51"/>
      <c r="AH392" s="51"/>
      <c r="AI392" s="29"/>
      <c r="AJ392" s="52"/>
      <c r="AL392" s="29"/>
    </row>
    <row r="393" spans="17:38">
      <c r="Q393" s="51"/>
      <c r="S393" s="29"/>
      <c r="T393" s="51"/>
      <c r="AE393" s="29"/>
      <c r="AF393" s="52"/>
      <c r="AG393" s="51"/>
      <c r="AH393" s="51"/>
      <c r="AI393" s="29"/>
      <c r="AJ393" s="52"/>
      <c r="AL393" s="29"/>
    </row>
    <row r="394" spans="17:38">
      <c r="Q394" s="51"/>
      <c r="S394" s="29"/>
      <c r="T394" s="51"/>
      <c r="AE394" s="29"/>
      <c r="AF394" s="52"/>
      <c r="AG394" s="51"/>
      <c r="AH394" s="51"/>
      <c r="AI394" s="29"/>
      <c r="AJ394" s="52"/>
      <c r="AL394" s="29"/>
    </row>
    <row r="395" spans="17:38">
      <c r="Q395" s="51"/>
      <c r="S395" s="29"/>
      <c r="T395" s="51"/>
      <c r="AE395" s="29"/>
      <c r="AF395" s="52"/>
      <c r="AG395" s="51"/>
      <c r="AH395" s="51"/>
      <c r="AI395" s="29"/>
      <c r="AJ395" s="52"/>
      <c r="AL395" s="29"/>
    </row>
    <row r="396" spans="17:38">
      <c r="Q396" s="51"/>
      <c r="S396" s="29"/>
      <c r="T396" s="51"/>
      <c r="AE396" s="29"/>
      <c r="AF396" s="52"/>
      <c r="AG396" s="51"/>
      <c r="AH396" s="51"/>
      <c r="AI396" s="29"/>
      <c r="AJ396" s="52"/>
      <c r="AL396" s="29"/>
    </row>
    <row r="397" spans="17:38">
      <c r="Q397" s="51"/>
      <c r="S397" s="29"/>
      <c r="T397" s="51"/>
      <c r="AE397" s="29"/>
      <c r="AF397" s="52"/>
      <c r="AG397" s="51"/>
      <c r="AH397" s="51"/>
      <c r="AI397" s="29"/>
      <c r="AJ397" s="52"/>
      <c r="AL397" s="29"/>
    </row>
    <row r="398" spans="17:38">
      <c r="Q398" s="51"/>
      <c r="S398" s="29"/>
      <c r="T398" s="51"/>
      <c r="AE398" s="29"/>
      <c r="AF398" s="52"/>
      <c r="AG398" s="51"/>
      <c r="AH398" s="51"/>
      <c r="AI398" s="29"/>
      <c r="AJ398" s="52"/>
      <c r="AL398" s="29"/>
    </row>
    <row r="399" spans="17:38">
      <c r="Q399" s="51"/>
      <c r="S399" s="29"/>
      <c r="T399" s="51"/>
      <c r="AE399" s="29"/>
      <c r="AF399" s="52"/>
      <c r="AG399" s="51"/>
      <c r="AH399" s="51"/>
      <c r="AI399" s="29"/>
      <c r="AJ399" s="52"/>
      <c r="AL399" s="29"/>
    </row>
    <row r="400" spans="17:38">
      <c r="Q400" s="51"/>
      <c r="S400" s="29"/>
      <c r="T400" s="51"/>
      <c r="AE400" s="29"/>
      <c r="AF400" s="52"/>
      <c r="AG400" s="51"/>
      <c r="AH400" s="51"/>
      <c r="AI400" s="29"/>
      <c r="AJ400" s="52"/>
      <c r="AL400" s="29"/>
    </row>
    <row r="401" spans="17:38">
      <c r="Q401" s="51"/>
      <c r="S401" s="29"/>
      <c r="T401" s="51"/>
      <c r="AE401" s="29"/>
      <c r="AF401" s="52"/>
      <c r="AG401" s="51"/>
      <c r="AH401" s="51"/>
      <c r="AI401" s="29"/>
      <c r="AJ401" s="52"/>
      <c r="AL401" s="29"/>
    </row>
    <row r="402" spans="17:38">
      <c r="Q402" s="51"/>
      <c r="S402" s="29"/>
      <c r="T402" s="51"/>
      <c r="AE402" s="29"/>
      <c r="AF402" s="52"/>
      <c r="AG402" s="51"/>
      <c r="AH402" s="51"/>
      <c r="AI402" s="29"/>
      <c r="AJ402" s="52"/>
      <c r="AL402" s="29"/>
    </row>
    <row r="403" spans="17:38">
      <c r="Q403" s="51"/>
      <c r="S403" s="29"/>
      <c r="T403" s="51"/>
      <c r="AE403" s="29"/>
      <c r="AF403" s="52"/>
      <c r="AG403" s="51"/>
      <c r="AH403" s="51"/>
      <c r="AI403" s="29"/>
      <c r="AJ403" s="52"/>
      <c r="AL403" s="29"/>
    </row>
    <row r="404" spans="17:38">
      <c r="Q404" s="51"/>
      <c r="S404" s="29"/>
      <c r="T404" s="51"/>
      <c r="AE404" s="29"/>
      <c r="AF404" s="52"/>
      <c r="AG404" s="51"/>
      <c r="AH404" s="51"/>
      <c r="AI404" s="29"/>
      <c r="AJ404" s="52"/>
      <c r="AL404" s="29"/>
    </row>
    <row r="405" spans="17:38">
      <c r="Q405" s="51"/>
      <c r="S405" s="29"/>
      <c r="T405" s="51"/>
      <c r="AE405" s="29"/>
      <c r="AF405" s="52"/>
      <c r="AG405" s="51"/>
      <c r="AH405" s="51"/>
      <c r="AI405" s="29"/>
      <c r="AJ405" s="52"/>
      <c r="AL405" s="29"/>
    </row>
    <row r="406" spans="17:38">
      <c r="Q406" s="51"/>
      <c r="S406" s="29"/>
      <c r="T406" s="51"/>
      <c r="AE406" s="29"/>
      <c r="AF406" s="52"/>
      <c r="AG406" s="51"/>
      <c r="AH406" s="51"/>
      <c r="AI406" s="29"/>
      <c r="AJ406" s="52"/>
      <c r="AL406" s="29"/>
    </row>
    <row r="407" spans="17:38">
      <c r="Q407" s="51"/>
      <c r="S407" s="29"/>
      <c r="T407" s="51"/>
      <c r="AE407" s="29"/>
      <c r="AF407" s="52"/>
      <c r="AG407" s="51"/>
      <c r="AH407" s="51"/>
      <c r="AI407" s="29"/>
      <c r="AJ407" s="52"/>
      <c r="AL407" s="29"/>
    </row>
    <row r="408" spans="17:38">
      <c r="Q408" s="51"/>
      <c r="S408" s="29"/>
      <c r="T408" s="51"/>
      <c r="AE408" s="29"/>
      <c r="AF408" s="52"/>
      <c r="AG408" s="51"/>
      <c r="AH408" s="51"/>
      <c r="AI408" s="29"/>
      <c r="AJ408" s="52"/>
      <c r="AL408" s="29"/>
    </row>
    <row r="409" spans="17:38">
      <c r="Q409" s="51"/>
      <c r="S409" s="29"/>
      <c r="T409" s="51"/>
      <c r="AE409" s="29"/>
      <c r="AF409" s="52"/>
      <c r="AG409" s="51"/>
      <c r="AH409" s="51"/>
      <c r="AI409" s="29"/>
      <c r="AJ409" s="52"/>
      <c r="AL409" s="29"/>
    </row>
    <row r="410" spans="17:38">
      <c r="Q410" s="51"/>
      <c r="S410" s="29"/>
      <c r="T410" s="51"/>
      <c r="AE410" s="29"/>
      <c r="AF410" s="52"/>
      <c r="AG410" s="51"/>
      <c r="AH410" s="51"/>
      <c r="AI410" s="29"/>
      <c r="AJ410" s="52"/>
      <c r="AL410" s="29"/>
    </row>
    <row r="411" spans="17:38">
      <c r="Q411" s="51"/>
      <c r="S411" s="29"/>
      <c r="T411" s="51"/>
      <c r="AE411" s="29"/>
      <c r="AF411" s="52"/>
      <c r="AG411" s="51"/>
      <c r="AH411" s="51"/>
      <c r="AI411" s="29"/>
      <c r="AJ411" s="52"/>
      <c r="AL411" s="29"/>
    </row>
    <row r="412" spans="17:38">
      <c r="Q412" s="51"/>
      <c r="S412" s="29"/>
      <c r="T412" s="51"/>
      <c r="AE412" s="29"/>
      <c r="AF412" s="52"/>
      <c r="AG412" s="51"/>
      <c r="AH412" s="51"/>
      <c r="AI412" s="29"/>
      <c r="AJ412" s="52"/>
      <c r="AL412" s="29"/>
    </row>
    <row r="413" spans="17:38">
      <c r="Q413" s="51"/>
      <c r="S413" s="29"/>
      <c r="T413" s="51"/>
      <c r="AE413" s="29"/>
      <c r="AF413" s="52"/>
      <c r="AG413" s="51"/>
      <c r="AH413" s="51"/>
      <c r="AI413" s="29"/>
      <c r="AJ413" s="52"/>
      <c r="AL413" s="29"/>
    </row>
    <row r="414" spans="17:38">
      <c r="Q414" s="51"/>
      <c r="S414" s="29"/>
      <c r="T414" s="51"/>
      <c r="AE414" s="29"/>
      <c r="AF414" s="52"/>
      <c r="AG414" s="51"/>
      <c r="AH414" s="51"/>
      <c r="AI414" s="29"/>
      <c r="AJ414" s="52"/>
      <c r="AL414" s="29"/>
    </row>
    <row r="415" spans="17:38">
      <c r="Q415" s="51"/>
      <c r="S415" s="29"/>
      <c r="T415" s="51"/>
      <c r="AE415" s="29"/>
      <c r="AF415" s="52"/>
      <c r="AG415" s="51"/>
      <c r="AH415" s="51"/>
      <c r="AI415" s="29"/>
      <c r="AJ415" s="52"/>
      <c r="AL415" s="29"/>
    </row>
    <row r="416" spans="17:38">
      <c r="Q416" s="51"/>
      <c r="S416" s="29"/>
      <c r="T416" s="51"/>
      <c r="AE416" s="29"/>
      <c r="AF416" s="52"/>
      <c r="AG416" s="51"/>
      <c r="AH416" s="51"/>
      <c r="AI416" s="29"/>
      <c r="AJ416" s="52"/>
      <c r="AL416" s="29"/>
    </row>
    <row r="417" spans="17:38">
      <c r="Q417" s="51"/>
      <c r="S417" s="29"/>
      <c r="T417" s="51"/>
      <c r="AE417" s="29"/>
      <c r="AF417" s="52"/>
      <c r="AG417" s="51"/>
      <c r="AH417" s="51"/>
      <c r="AI417" s="29"/>
      <c r="AJ417" s="52"/>
      <c r="AL417" s="29"/>
    </row>
    <row r="418" spans="17:38">
      <c r="Q418" s="51"/>
      <c r="S418" s="29"/>
      <c r="T418" s="51"/>
      <c r="AE418" s="29"/>
      <c r="AF418" s="52"/>
      <c r="AG418" s="51"/>
      <c r="AH418" s="51"/>
      <c r="AI418" s="29"/>
      <c r="AJ418" s="52"/>
      <c r="AL418" s="29"/>
    </row>
    <row r="419" spans="17:38">
      <c r="Q419" s="51"/>
      <c r="S419" s="29"/>
      <c r="T419" s="51"/>
      <c r="AE419" s="29"/>
      <c r="AF419" s="52"/>
      <c r="AG419" s="51"/>
      <c r="AH419" s="51"/>
      <c r="AI419" s="29"/>
      <c r="AJ419" s="52"/>
      <c r="AL419" s="29"/>
    </row>
    <row r="420" spans="17:38">
      <c r="Q420" s="51"/>
      <c r="S420" s="29"/>
      <c r="T420" s="51"/>
      <c r="AE420" s="29"/>
      <c r="AF420" s="52"/>
      <c r="AG420" s="51"/>
      <c r="AH420" s="51"/>
      <c r="AI420" s="29"/>
      <c r="AJ420" s="52"/>
      <c r="AL420" s="29"/>
    </row>
    <row r="421" spans="17:38">
      <c r="Q421" s="51"/>
      <c r="S421" s="29"/>
      <c r="T421" s="51"/>
      <c r="AE421" s="29"/>
      <c r="AF421" s="52"/>
      <c r="AG421" s="51"/>
      <c r="AH421" s="51"/>
      <c r="AI421" s="29"/>
      <c r="AJ421" s="52"/>
      <c r="AL421" s="29"/>
    </row>
    <row r="422" spans="17:38">
      <c r="Q422" s="51"/>
      <c r="S422" s="29"/>
      <c r="T422" s="51"/>
      <c r="AE422" s="29"/>
      <c r="AF422" s="52"/>
      <c r="AG422" s="51"/>
      <c r="AH422" s="51"/>
      <c r="AI422" s="29"/>
      <c r="AJ422" s="52"/>
      <c r="AL422" s="29"/>
    </row>
    <row r="423" spans="17:38">
      <c r="Q423" s="51"/>
      <c r="S423" s="29"/>
      <c r="T423" s="51"/>
      <c r="AE423" s="29"/>
      <c r="AF423" s="52"/>
      <c r="AG423" s="51"/>
      <c r="AH423" s="51"/>
      <c r="AI423" s="29"/>
      <c r="AJ423" s="52"/>
      <c r="AL423" s="29"/>
    </row>
    <row r="424" spans="17:38">
      <c r="Q424" s="51"/>
      <c r="S424" s="29"/>
      <c r="T424" s="51"/>
      <c r="AE424" s="29"/>
      <c r="AF424" s="52"/>
      <c r="AG424" s="51"/>
      <c r="AH424" s="51"/>
      <c r="AI424" s="29"/>
      <c r="AJ424" s="52"/>
      <c r="AL424" s="29"/>
    </row>
    <row r="425" spans="17:38">
      <c r="Q425" s="51"/>
      <c r="S425" s="29"/>
      <c r="T425" s="51"/>
      <c r="AE425" s="29"/>
      <c r="AF425" s="52"/>
      <c r="AG425" s="51"/>
      <c r="AH425" s="51"/>
      <c r="AI425" s="29"/>
      <c r="AJ425" s="52"/>
      <c r="AL425" s="29"/>
    </row>
    <row r="426" spans="17:38">
      <c r="Q426" s="51"/>
      <c r="S426" s="29"/>
      <c r="T426" s="51"/>
      <c r="AE426" s="29"/>
      <c r="AF426" s="52"/>
      <c r="AG426" s="51"/>
      <c r="AH426" s="51"/>
      <c r="AI426" s="29"/>
      <c r="AJ426" s="52"/>
      <c r="AL426" s="29"/>
    </row>
    <row r="427" spans="17:38">
      <c r="Q427" s="51"/>
      <c r="S427" s="29"/>
      <c r="T427" s="51"/>
      <c r="AE427" s="29"/>
      <c r="AF427" s="52"/>
      <c r="AG427" s="51"/>
      <c r="AH427" s="51"/>
      <c r="AI427" s="29"/>
      <c r="AJ427" s="52"/>
      <c r="AL427" s="29"/>
    </row>
    <row r="428" spans="17:38">
      <c r="Q428" s="51"/>
      <c r="S428" s="29"/>
      <c r="T428" s="51"/>
      <c r="AE428" s="29"/>
      <c r="AF428" s="52"/>
      <c r="AG428" s="51"/>
      <c r="AH428" s="51"/>
      <c r="AI428" s="29"/>
      <c r="AJ428" s="52"/>
      <c r="AL428" s="29"/>
    </row>
    <row r="429" spans="17:38">
      <c r="Q429" s="51"/>
      <c r="S429" s="29"/>
      <c r="T429" s="51"/>
      <c r="AE429" s="29"/>
      <c r="AF429" s="52"/>
      <c r="AG429" s="51"/>
      <c r="AH429" s="51"/>
      <c r="AI429" s="29"/>
      <c r="AJ429" s="52"/>
      <c r="AL429" s="29"/>
    </row>
    <row r="430" spans="17:38">
      <c r="Q430" s="51"/>
      <c r="S430" s="29"/>
      <c r="T430" s="51"/>
      <c r="AE430" s="29"/>
      <c r="AF430" s="52"/>
      <c r="AG430" s="51"/>
      <c r="AH430" s="51"/>
      <c r="AI430" s="29"/>
      <c r="AJ430" s="52"/>
      <c r="AL430" s="29"/>
    </row>
    <row r="431" spans="17:38">
      <c r="Q431" s="51"/>
      <c r="S431" s="29"/>
      <c r="T431" s="51"/>
      <c r="AE431" s="29"/>
      <c r="AF431" s="52"/>
      <c r="AG431" s="51"/>
      <c r="AH431" s="51"/>
      <c r="AI431" s="29"/>
      <c r="AJ431" s="52"/>
      <c r="AL431" s="29"/>
    </row>
    <row r="432" spans="17:38">
      <c r="Q432" s="51"/>
      <c r="S432" s="29"/>
      <c r="T432" s="51"/>
      <c r="AE432" s="29"/>
      <c r="AF432" s="52"/>
      <c r="AG432" s="51"/>
      <c r="AH432" s="51"/>
      <c r="AI432" s="29"/>
      <c r="AJ432" s="52"/>
      <c r="AL432" s="29"/>
    </row>
    <row r="433" spans="17:38">
      <c r="Q433" s="51"/>
      <c r="S433" s="29"/>
      <c r="T433" s="51"/>
      <c r="AE433" s="29"/>
      <c r="AF433" s="52"/>
      <c r="AG433" s="51"/>
      <c r="AH433" s="51"/>
      <c r="AI433" s="29"/>
      <c r="AJ433" s="52"/>
      <c r="AL433" s="29"/>
    </row>
    <row r="434" spans="17:38">
      <c r="Q434" s="51"/>
      <c r="S434" s="29"/>
      <c r="T434" s="51"/>
      <c r="AE434" s="29"/>
      <c r="AF434" s="52"/>
      <c r="AG434" s="51"/>
      <c r="AH434" s="51"/>
      <c r="AI434" s="29"/>
      <c r="AJ434" s="52"/>
      <c r="AL434" s="29"/>
    </row>
    <row r="435" spans="17:38">
      <c r="Q435" s="51"/>
      <c r="S435" s="29"/>
      <c r="T435" s="51"/>
      <c r="AE435" s="29"/>
      <c r="AF435" s="52"/>
      <c r="AG435" s="51"/>
      <c r="AH435" s="51"/>
      <c r="AI435" s="29"/>
      <c r="AJ435" s="52"/>
      <c r="AL435" s="29"/>
    </row>
    <row r="436" spans="17:38">
      <c r="Q436" s="51"/>
      <c r="S436" s="29"/>
      <c r="T436" s="51"/>
      <c r="AE436" s="29"/>
      <c r="AF436" s="52"/>
      <c r="AG436" s="51"/>
      <c r="AH436" s="51"/>
      <c r="AI436" s="29"/>
      <c r="AJ436" s="52"/>
      <c r="AL436" s="29"/>
    </row>
    <row r="437" spans="17:38">
      <c r="Q437" s="51"/>
      <c r="S437" s="29"/>
      <c r="T437" s="51"/>
      <c r="AE437" s="29"/>
      <c r="AF437" s="52"/>
      <c r="AG437" s="51"/>
      <c r="AH437" s="51"/>
      <c r="AI437" s="29"/>
      <c r="AJ437" s="52"/>
      <c r="AL437" s="29"/>
    </row>
    <row r="438" spans="17:38">
      <c r="Q438" s="51"/>
      <c r="S438" s="29"/>
      <c r="T438" s="51"/>
      <c r="AE438" s="29"/>
      <c r="AF438" s="52"/>
      <c r="AG438" s="51"/>
      <c r="AH438" s="51"/>
      <c r="AI438" s="29"/>
      <c r="AJ438" s="52"/>
      <c r="AL438" s="29"/>
    </row>
    <row r="439" spans="17:38">
      <c r="Q439" s="51"/>
      <c r="S439" s="29"/>
      <c r="T439" s="51"/>
      <c r="AE439" s="29"/>
      <c r="AF439" s="52"/>
      <c r="AG439" s="51"/>
      <c r="AH439" s="51"/>
      <c r="AI439" s="29"/>
      <c r="AJ439" s="52"/>
      <c r="AL439" s="29"/>
    </row>
    <row r="440" spans="17:38">
      <c r="Q440" s="51"/>
      <c r="S440" s="29"/>
      <c r="T440" s="51"/>
      <c r="AE440" s="29"/>
      <c r="AF440" s="52"/>
      <c r="AG440" s="51"/>
      <c r="AH440" s="51"/>
      <c r="AI440" s="29"/>
      <c r="AJ440" s="52"/>
      <c r="AL440" s="29"/>
    </row>
    <row r="441" spans="17:38">
      <c r="Q441" s="51"/>
      <c r="S441" s="29"/>
      <c r="T441" s="51"/>
      <c r="AE441" s="29"/>
      <c r="AF441" s="52"/>
      <c r="AG441" s="51"/>
      <c r="AH441" s="51"/>
      <c r="AI441" s="29"/>
      <c r="AJ441" s="52"/>
      <c r="AL441" s="29"/>
    </row>
    <row r="442" spans="17:38">
      <c r="Q442" s="51"/>
      <c r="S442" s="29"/>
      <c r="T442" s="51"/>
      <c r="AE442" s="29"/>
      <c r="AF442" s="52"/>
      <c r="AG442" s="51"/>
      <c r="AH442" s="51"/>
      <c r="AI442" s="29"/>
      <c r="AJ442" s="52"/>
      <c r="AL442" s="29"/>
    </row>
    <row r="443" spans="17:38">
      <c r="Q443" s="51"/>
      <c r="S443" s="29"/>
      <c r="T443" s="51"/>
      <c r="AE443" s="29"/>
      <c r="AF443" s="52"/>
      <c r="AG443" s="51"/>
      <c r="AH443" s="51"/>
      <c r="AI443" s="29"/>
      <c r="AJ443" s="52"/>
      <c r="AL443" s="29"/>
    </row>
    <row r="444" spans="17:38">
      <c r="Q444" s="51"/>
      <c r="S444" s="29"/>
      <c r="T444" s="51"/>
      <c r="AE444" s="29"/>
      <c r="AF444" s="52"/>
      <c r="AG444" s="51"/>
      <c r="AH444" s="51"/>
      <c r="AI444" s="29"/>
      <c r="AJ444" s="52"/>
      <c r="AL444" s="29"/>
    </row>
    <row r="445" spans="17:38">
      <c r="Q445" s="51"/>
      <c r="S445" s="29"/>
      <c r="T445" s="51"/>
      <c r="AE445" s="29"/>
      <c r="AF445" s="52"/>
      <c r="AG445" s="51"/>
      <c r="AH445" s="51"/>
      <c r="AI445" s="29"/>
      <c r="AJ445" s="52"/>
      <c r="AL445" s="29"/>
    </row>
    <row r="446" spans="17:38">
      <c r="Q446" s="51"/>
      <c r="S446" s="29"/>
      <c r="T446" s="51"/>
      <c r="AE446" s="29"/>
      <c r="AF446" s="52"/>
      <c r="AG446" s="51"/>
      <c r="AH446" s="51"/>
      <c r="AI446" s="29"/>
      <c r="AJ446" s="52"/>
      <c r="AL446" s="29"/>
    </row>
    <row r="447" spans="17:38">
      <c r="Q447" s="51"/>
      <c r="S447" s="29"/>
      <c r="T447" s="51"/>
      <c r="AE447" s="29"/>
      <c r="AF447" s="52"/>
      <c r="AG447" s="51"/>
      <c r="AH447" s="51"/>
      <c r="AI447" s="29"/>
      <c r="AJ447" s="52"/>
      <c r="AL447" s="29"/>
    </row>
    <row r="448" spans="17:38">
      <c r="Q448" s="51"/>
      <c r="S448" s="29"/>
      <c r="T448" s="51"/>
      <c r="AE448" s="29"/>
      <c r="AF448" s="52"/>
      <c r="AG448" s="51"/>
      <c r="AH448" s="51"/>
      <c r="AI448" s="29"/>
      <c r="AJ448" s="52"/>
      <c r="AL448" s="29"/>
    </row>
    <row r="449" spans="17:38">
      <c r="Q449" s="51"/>
      <c r="S449" s="29"/>
      <c r="T449" s="51"/>
      <c r="AE449" s="29"/>
      <c r="AF449" s="52"/>
      <c r="AG449" s="51"/>
      <c r="AH449" s="51"/>
      <c r="AI449" s="29"/>
      <c r="AJ449" s="52"/>
      <c r="AL449" s="29"/>
    </row>
    <row r="450" spans="17:38">
      <c r="Q450" s="51"/>
      <c r="S450" s="29"/>
      <c r="T450" s="51"/>
      <c r="AE450" s="29"/>
      <c r="AF450" s="52"/>
      <c r="AG450" s="51"/>
      <c r="AH450" s="51"/>
      <c r="AI450" s="29"/>
      <c r="AJ450" s="52"/>
      <c r="AL450" s="29"/>
    </row>
    <row r="451" spans="17:38">
      <c r="Q451" s="51"/>
      <c r="S451" s="29"/>
      <c r="T451" s="51"/>
      <c r="AE451" s="29"/>
      <c r="AF451" s="52"/>
      <c r="AG451" s="51"/>
      <c r="AH451" s="51"/>
      <c r="AI451" s="29"/>
      <c r="AJ451" s="52"/>
      <c r="AL451" s="29"/>
    </row>
    <row r="452" spans="17:38">
      <c r="Q452" s="51"/>
      <c r="S452" s="29"/>
      <c r="T452" s="51"/>
      <c r="AE452" s="29"/>
      <c r="AF452" s="52"/>
      <c r="AG452" s="51"/>
      <c r="AH452" s="51"/>
      <c r="AI452" s="29"/>
      <c r="AJ452" s="52"/>
      <c r="AL452" s="29"/>
    </row>
    <row r="453" spans="17:38">
      <c r="Q453" s="51"/>
      <c r="S453" s="29"/>
      <c r="T453" s="51"/>
      <c r="AE453" s="29"/>
      <c r="AF453" s="52"/>
      <c r="AG453" s="51"/>
      <c r="AH453" s="51"/>
      <c r="AI453" s="29"/>
      <c r="AJ453" s="52"/>
      <c r="AL453" s="29"/>
    </row>
    <row r="454" spans="17:38">
      <c r="Q454" s="51"/>
      <c r="S454" s="29"/>
      <c r="T454" s="51"/>
      <c r="AE454" s="29"/>
      <c r="AF454" s="52"/>
      <c r="AG454" s="51"/>
      <c r="AH454" s="51"/>
      <c r="AI454" s="29"/>
      <c r="AJ454" s="52"/>
      <c r="AL454" s="29"/>
    </row>
    <row r="455" spans="17:38">
      <c r="Q455" s="51"/>
      <c r="S455" s="29"/>
      <c r="T455" s="51"/>
      <c r="AE455" s="29"/>
      <c r="AF455" s="52"/>
      <c r="AG455" s="51"/>
      <c r="AH455" s="51"/>
      <c r="AI455" s="29"/>
      <c r="AJ455" s="52"/>
      <c r="AL455" s="29"/>
    </row>
    <row r="456" spans="17:38">
      <c r="Q456" s="51"/>
      <c r="S456" s="29"/>
      <c r="T456" s="51"/>
      <c r="AE456" s="29"/>
      <c r="AF456" s="52"/>
      <c r="AG456" s="51"/>
      <c r="AH456" s="51"/>
      <c r="AI456" s="29"/>
      <c r="AJ456" s="52"/>
      <c r="AL456" s="29"/>
    </row>
    <row r="457" spans="17:38">
      <c r="Q457" s="51"/>
      <c r="S457" s="29"/>
      <c r="T457" s="51"/>
      <c r="AE457" s="29"/>
      <c r="AF457" s="52"/>
      <c r="AG457" s="51"/>
      <c r="AH457" s="51"/>
      <c r="AI457" s="29"/>
      <c r="AJ457" s="52"/>
      <c r="AL457" s="29"/>
    </row>
    <row r="458" spans="17:38">
      <c r="Q458" s="51"/>
      <c r="S458" s="29"/>
      <c r="T458" s="51"/>
      <c r="AE458" s="29"/>
      <c r="AF458" s="52"/>
      <c r="AG458" s="51"/>
      <c r="AH458" s="51"/>
      <c r="AI458" s="29"/>
      <c r="AJ458" s="52"/>
      <c r="AL458" s="29"/>
    </row>
    <row r="459" spans="17:38">
      <c r="Q459" s="51"/>
      <c r="S459" s="29"/>
      <c r="T459" s="51"/>
      <c r="AE459" s="29"/>
      <c r="AF459" s="52"/>
      <c r="AG459" s="51"/>
      <c r="AH459" s="51"/>
      <c r="AI459" s="29"/>
      <c r="AJ459" s="52"/>
      <c r="AL459" s="29"/>
    </row>
    <row r="460" spans="17:38">
      <c r="Q460" s="51"/>
      <c r="S460" s="29"/>
      <c r="T460" s="51"/>
      <c r="AE460" s="29"/>
      <c r="AF460" s="52"/>
      <c r="AG460" s="51"/>
      <c r="AH460" s="51"/>
      <c r="AI460" s="29"/>
      <c r="AJ460" s="52"/>
      <c r="AL460" s="29"/>
    </row>
    <row r="461" spans="17:38">
      <c r="Q461" s="51"/>
      <c r="S461" s="29"/>
      <c r="T461" s="51"/>
      <c r="AE461" s="29"/>
      <c r="AF461" s="52"/>
      <c r="AG461" s="51"/>
      <c r="AH461" s="51"/>
      <c r="AI461" s="29"/>
      <c r="AJ461" s="52"/>
      <c r="AL461" s="29"/>
    </row>
    <row r="462" spans="17:38">
      <c r="Q462" s="51"/>
      <c r="S462" s="29"/>
      <c r="T462" s="51"/>
      <c r="AE462" s="29"/>
      <c r="AF462" s="52"/>
      <c r="AG462" s="51"/>
      <c r="AH462" s="51"/>
      <c r="AI462" s="29"/>
      <c r="AJ462" s="52"/>
      <c r="AL462" s="29"/>
    </row>
    <row r="463" spans="17:38">
      <c r="Q463" s="51"/>
      <c r="S463" s="29"/>
      <c r="T463" s="51"/>
      <c r="AE463" s="29"/>
      <c r="AF463" s="52"/>
      <c r="AG463" s="51"/>
      <c r="AH463" s="51"/>
      <c r="AI463" s="29"/>
      <c r="AJ463" s="52"/>
      <c r="AL463" s="29"/>
    </row>
    <row r="464" spans="17:38">
      <c r="Q464" s="51"/>
      <c r="S464" s="29"/>
      <c r="T464" s="51"/>
      <c r="AE464" s="29"/>
      <c r="AF464" s="52"/>
      <c r="AG464" s="51"/>
      <c r="AH464" s="51"/>
      <c r="AI464" s="29"/>
      <c r="AJ464" s="52"/>
      <c r="AL464" s="29"/>
    </row>
    <row r="465" spans="17:38">
      <c r="Q465" s="51"/>
      <c r="S465" s="29"/>
      <c r="T465" s="51"/>
      <c r="AE465" s="29"/>
      <c r="AF465" s="52"/>
      <c r="AG465" s="51"/>
      <c r="AH465" s="51"/>
      <c r="AI465" s="29"/>
      <c r="AJ465" s="52"/>
      <c r="AL465" s="29"/>
    </row>
    <row r="466" spans="17:38">
      <c r="Q466" s="51"/>
      <c r="S466" s="29"/>
      <c r="T466" s="51"/>
      <c r="AE466" s="29"/>
      <c r="AF466" s="52"/>
      <c r="AG466" s="51"/>
      <c r="AH466" s="51"/>
      <c r="AI466" s="29"/>
      <c r="AJ466" s="52"/>
      <c r="AL466" s="29"/>
    </row>
    <row r="467" spans="17:38">
      <c r="Q467" s="51"/>
      <c r="S467" s="29"/>
      <c r="T467" s="51"/>
      <c r="AE467" s="29"/>
      <c r="AF467" s="52"/>
      <c r="AG467" s="51"/>
      <c r="AH467" s="51"/>
      <c r="AI467" s="29"/>
      <c r="AJ467" s="52"/>
      <c r="AL467" s="29"/>
    </row>
    <row r="468" spans="17:38">
      <c r="Q468" s="51"/>
      <c r="S468" s="29"/>
      <c r="T468" s="51"/>
      <c r="AE468" s="29"/>
      <c r="AF468" s="52"/>
      <c r="AG468" s="51"/>
      <c r="AH468" s="51"/>
      <c r="AI468" s="29"/>
      <c r="AJ468" s="52"/>
      <c r="AL468" s="29"/>
    </row>
    <row r="469" spans="17:38">
      <c r="Q469" s="51"/>
      <c r="S469" s="29"/>
      <c r="T469" s="51"/>
      <c r="AE469" s="29"/>
      <c r="AF469" s="52"/>
      <c r="AG469" s="51"/>
      <c r="AH469" s="51"/>
      <c r="AI469" s="29"/>
      <c r="AJ469" s="52"/>
      <c r="AL469" s="29"/>
    </row>
    <row r="470" spans="17:38">
      <c r="Q470" s="51"/>
      <c r="S470" s="29"/>
      <c r="T470" s="51"/>
      <c r="AE470" s="29"/>
      <c r="AF470" s="52"/>
      <c r="AG470" s="51"/>
      <c r="AH470" s="51"/>
      <c r="AI470" s="29"/>
      <c r="AJ470" s="52"/>
      <c r="AL470" s="29"/>
    </row>
    <row r="471" spans="17:38">
      <c r="Q471" s="51"/>
      <c r="S471" s="29"/>
      <c r="T471" s="51"/>
      <c r="AE471" s="29"/>
      <c r="AF471" s="52"/>
      <c r="AG471" s="51"/>
      <c r="AH471" s="51"/>
      <c r="AI471" s="29"/>
      <c r="AJ471" s="52"/>
      <c r="AL471" s="29"/>
    </row>
    <row r="472" spans="17:38">
      <c r="Q472" s="51"/>
      <c r="S472" s="29"/>
      <c r="T472" s="51"/>
      <c r="AE472" s="29"/>
      <c r="AF472" s="52"/>
      <c r="AG472" s="51"/>
      <c r="AH472" s="51"/>
      <c r="AI472" s="29"/>
      <c r="AJ472" s="52"/>
      <c r="AL472" s="29"/>
    </row>
    <row r="473" spans="17:38">
      <c r="Q473" s="51"/>
      <c r="S473" s="29"/>
      <c r="T473" s="51"/>
      <c r="AE473" s="29"/>
      <c r="AF473" s="52"/>
      <c r="AG473" s="51"/>
      <c r="AH473" s="51"/>
      <c r="AI473" s="29"/>
      <c r="AJ473" s="52"/>
      <c r="AL473" s="29"/>
    </row>
    <row r="474" spans="17:38">
      <c r="Q474" s="51"/>
      <c r="S474" s="29"/>
      <c r="T474" s="51"/>
      <c r="AE474" s="29"/>
      <c r="AF474" s="52"/>
      <c r="AG474" s="51"/>
      <c r="AH474" s="51"/>
      <c r="AI474" s="29"/>
      <c r="AJ474" s="52"/>
      <c r="AL474" s="29"/>
    </row>
    <row r="475" spans="17:38">
      <c r="Q475" s="51"/>
      <c r="S475" s="29"/>
      <c r="T475" s="51"/>
      <c r="AE475" s="29"/>
      <c r="AF475" s="52"/>
      <c r="AG475" s="51"/>
      <c r="AH475" s="51"/>
      <c r="AI475" s="29"/>
      <c r="AJ475" s="52"/>
      <c r="AL475" s="29"/>
    </row>
    <row r="476" spans="17:38">
      <c r="Q476" s="51"/>
      <c r="S476" s="29"/>
      <c r="T476" s="51"/>
      <c r="AE476" s="29"/>
      <c r="AF476" s="52"/>
      <c r="AG476" s="51"/>
      <c r="AH476" s="51"/>
      <c r="AI476" s="29"/>
      <c r="AJ476" s="52"/>
      <c r="AL476" s="29"/>
    </row>
    <row r="477" spans="17:38">
      <c r="Q477" s="51"/>
      <c r="S477" s="29"/>
      <c r="T477" s="51"/>
      <c r="AE477" s="29"/>
      <c r="AF477" s="52"/>
      <c r="AG477" s="51"/>
      <c r="AH477" s="51"/>
      <c r="AI477" s="29"/>
      <c r="AJ477" s="52"/>
      <c r="AL477" s="29"/>
    </row>
    <row r="478" spans="17:38">
      <c r="Q478" s="51"/>
      <c r="S478" s="29"/>
      <c r="T478" s="51"/>
      <c r="AE478" s="29"/>
      <c r="AF478" s="52"/>
      <c r="AG478" s="51"/>
      <c r="AH478" s="51"/>
      <c r="AI478" s="29"/>
      <c r="AJ478" s="52"/>
      <c r="AL478" s="29"/>
    </row>
    <row r="479" spans="17:38">
      <c r="Q479" s="51"/>
      <c r="S479" s="29"/>
      <c r="T479" s="51"/>
      <c r="AE479" s="29"/>
      <c r="AF479" s="52"/>
      <c r="AG479" s="51"/>
      <c r="AH479" s="51"/>
      <c r="AI479" s="29"/>
      <c r="AJ479" s="52"/>
      <c r="AL479" s="29"/>
    </row>
    <row r="480" spans="17:38">
      <c r="Q480" s="51"/>
      <c r="S480" s="29"/>
      <c r="T480" s="51"/>
      <c r="AE480" s="29"/>
      <c r="AF480" s="52"/>
      <c r="AG480" s="51"/>
      <c r="AH480" s="51"/>
      <c r="AI480" s="29"/>
      <c r="AJ480" s="52"/>
      <c r="AL480" s="29"/>
    </row>
    <row r="481" spans="17:38">
      <c r="Q481" s="51"/>
      <c r="S481" s="29"/>
      <c r="T481" s="51"/>
      <c r="AE481" s="29"/>
      <c r="AF481" s="52"/>
      <c r="AG481" s="51"/>
      <c r="AH481" s="51"/>
      <c r="AI481" s="29"/>
      <c r="AJ481" s="52"/>
      <c r="AL481" s="29"/>
    </row>
    <row r="482" spans="17:38">
      <c r="Q482" s="51"/>
      <c r="S482" s="29"/>
      <c r="T482" s="51"/>
      <c r="AE482" s="29"/>
      <c r="AF482" s="52"/>
      <c r="AG482" s="51"/>
      <c r="AH482" s="51"/>
      <c r="AI482" s="29"/>
      <c r="AJ482" s="52"/>
      <c r="AL482" s="29"/>
    </row>
    <row r="483" spans="17:38">
      <c r="Q483" s="51"/>
      <c r="S483" s="29"/>
      <c r="T483" s="51"/>
      <c r="AE483" s="29"/>
      <c r="AF483" s="52"/>
      <c r="AG483" s="51"/>
      <c r="AH483" s="51"/>
      <c r="AI483" s="29"/>
      <c r="AJ483" s="52"/>
      <c r="AL483" s="29"/>
    </row>
    <row r="484" spans="17:38">
      <c r="Q484" s="51"/>
      <c r="S484" s="29"/>
      <c r="T484" s="51"/>
      <c r="AE484" s="29"/>
      <c r="AF484" s="52"/>
      <c r="AG484" s="51"/>
      <c r="AH484" s="51"/>
      <c r="AI484" s="29"/>
      <c r="AJ484" s="52"/>
      <c r="AL484" s="29"/>
    </row>
    <row r="485" spans="17:38">
      <c r="Q485" s="51"/>
      <c r="S485" s="29"/>
      <c r="T485" s="51"/>
      <c r="AE485" s="29"/>
      <c r="AF485" s="52"/>
      <c r="AG485" s="51"/>
      <c r="AH485" s="51"/>
      <c r="AI485" s="29"/>
      <c r="AJ485" s="52"/>
      <c r="AL485" s="29"/>
    </row>
    <row r="486" spans="17:38">
      <c r="Q486" s="51"/>
      <c r="S486" s="29"/>
      <c r="T486" s="51"/>
      <c r="AE486" s="29"/>
      <c r="AF486" s="52"/>
      <c r="AG486" s="51"/>
      <c r="AH486" s="51"/>
      <c r="AI486" s="29"/>
      <c r="AJ486" s="52"/>
      <c r="AL486" s="29"/>
    </row>
    <row r="487" spans="17:38">
      <c r="Q487" s="51"/>
      <c r="S487" s="29"/>
      <c r="T487" s="51"/>
      <c r="AE487" s="29"/>
      <c r="AF487" s="52"/>
      <c r="AG487" s="51"/>
      <c r="AH487" s="51"/>
      <c r="AI487" s="29"/>
      <c r="AJ487" s="52"/>
      <c r="AL487" s="29"/>
    </row>
    <row r="488" spans="17:38">
      <c r="Q488" s="51"/>
      <c r="S488" s="29"/>
      <c r="T488" s="51"/>
      <c r="AE488" s="29"/>
      <c r="AF488" s="52"/>
      <c r="AG488" s="51"/>
      <c r="AH488" s="51"/>
      <c r="AI488" s="29"/>
      <c r="AJ488" s="52"/>
      <c r="AL488" s="29"/>
    </row>
    <row r="489" spans="17:38">
      <c r="Q489" s="51"/>
      <c r="S489" s="29"/>
      <c r="T489" s="51"/>
      <c r="AE489" s="29"/>
      <c r="AF489" s="52"/>
      <c r="AG489" s="51"/>
      <c r="AH489" s="51"/>
      <c r="AI489" s="29"/>
      <c r="AJ489" s="52"/>
      <c r="AL489" s="29"/>
    </row>
    <row r="490" spans="17:38">
      <c r="Q490" s="51"/>
      <c r="S490" s="29"/>
      <c r="T490" s="51"/>
      <c r="AE490" s="29"/>
      <c r="AF490" s="52"/>
      <c r="AG490" s="51"/>
      <c r="AH490" s="51"/>
      <c r="AI490" s="29"/>
      <c r="AJ490" s="52"/>
      <c r="AL490" s="29"/>
    </row>
    <row r="491" spans="17:38">
      <c r="Q491" s="51"/>
      <c r="S491" s="29"/>
      <c r="T491" s="51"/>
      <c r="AE491" s="29"/>
      <c r="AF491" s="52"/>
      <c r="AG491" s="51"/>
      <c r="AH491" s="51"/>
      <c r="AI491" s="29"/>
      <c r="AJ491" s="52"/>
      <c r="AL491" s="29"/>
    </row>
    <row r="492" spans="17:38">
      <c r="Q492" s="51"/>
      <c r="S492" s="29"/>
      <c r="T492" s="51"/>
      <c r="AE492" s="29"/>
      <c r="AF492" s="52"/>
      <c r="AG492" s="51"/>
      <c r="AH492" s="51"/>
      <c r="AI492" s="29"/>
      <c r="AJ492" s="52"/>
      <c r="AL492" s="29"/>
    </row>
    <row r="493" spans="17:38">
      <c r="Q493" s="51"/>
      <c r="S493" s="29"/>
      <c r="T493" s="51"/>
      <c r="AE493" s="29"/>
      <c r="AF493" s="52"/>
      <c r="AG493" s="51"/>
      <c r="AH493" s="51"/>
      <c r="AI493" s="29"/>
      <c r="AJ493" s="52"/>
      <c r="AL493" s="29"/>
    </row>
    <row r="494" spans="17:38">
      <c r="Q494" s="51"/>
      <c r="S494" s="29"/>
      <c r="T494" s="51"/>
      <c r="AE494" s="29"/>
      <c r="AF494" s="52"/>
      <c r="AG494" s="51"/>
      <c r="AH494" s="51"/>
      <c r="AI494" s="29"/>
      <c r="AJ494" s="52"/>
      <c r="AL494" s="29"/>
    </row>
    <row r="495" spans="17:38">
      <c r="Q495" s="51"/>
      <c r="S495" s="29"/>
      <c r="T495" s="51"/>
      <c r="AE495" s="29"/>
      <c r="AF495" s="52"/>
      <c r="AG495" s="51"/>
      <c r="AH495" s="51"/>
      <c r="AI495" s="29"/>
      <c r="AJ495" s="52"/>
      <c r="AL495" s="29"/>
    </row>
    <row r="496" spans="17:38">
      <c r="Q496" s="51"/>
      <c r="S496" s="29"/>
      <c r="T496" s="51"/>
      <c r="AE496" s="29"/>
      <c r="AF496" s="52"/>
      <c r="AG496" s="51"/>
      <c r="AH496" s="51"/>
      <c r="AI496" s="29"/>
      <c r="AJ496" s="52"/>
      <c r="AL496" s="29"/>
    </row>
    <row r="497" spans="17:38">
      <c r="Q497" s="51"/>
      <c r="S497" s="29"/>
      <c r="T497" s="51"/>
      <c r="AE497" s="29"/>
      <c r="AF497" s="52"/>
      <c r="AG497" s="51"/>
      <c r="AH497" s="51"/>
      <c r="AI497" s="29"/>
      <c r="AJ497" s="52"/>
      <c r="AL497" s="29"/>
    </row>
    <row r="498" spans="17:38">
      <c r="Q498" s="51"/>
      <c r="S498" s="29"/>
      <c r="T498" s="51"/>
      <c r="AE498" s="29"/>
      <c r="AF498" s="52"/>
      <c r="AG498" s="51"/>
      <c r="AH498" s="51"/>
      <c r="AI498" s="29"/>
      <c r="AJ498" s="52"/>
      <c r="AL498" s="29"/>
    </row>
    <row r="499" spans="17:38">
      <c r="Q499" s="51"/>
      <c r="S499" s="29"/>
      <c r="T499" s="51"/>
      <c r="AE499" s="29"/>
      <c r="AF499" s="52"/>
      <c r="AG499" s="51"/>
      <c r="AH499" s="51"/>
      <c r="AI499" s="29"/>
      <c r="AJ499" s="52"/>
      <c r="AL499" s="29"/>
    </row>
    <row r="500" spans="17:38">
      <c r="Q500" s="51"/>
      <c r="S500" s="29"/>
      <c r="T500" s="51"/>
      <c r="AE500" s="29"/>
      <c r="AF500" s="52"/>
      <c r="AG500" s="51"/>
      <c r="AH500" s="51"/>
      <c r="AI500" s="29"/>
      <c r="AJ500" s="52"/>
      <c r="AL500" s="29"/>
    </row>
    <row r="501" spans="17:38">
      <c r="Q501" s="51"/>
      <c r="S501" s="29"/>
      <c r="T501" s="51"/>
      <c r="AE501" s="29"/>
      <c r="AF501" s="52"/>
      <c r="AG501" s="51"/>
      <c r="AH501" s="51"/>
      <c r="AI501" s="29"/>
      <c r="AJ501" s="52"/>
      <c r="AL501" s="29"/>
    </row>
    <row r="502" spans="17:38">
      <c r="Q502" s="51"/>
      <c r="S502" s="29"/>
      <c r="T502" s="51"/>
      <c r="AE502" s="29"/>
      <c r="AF502" s="52"/>
      <c r="AG502" s="51"/>
      <c r="AH502" s="51"/>
      <c r="AI502" s="29"/>
      <c r="AJ502" s="52"/>
      <c r="AL502" s="29"/>
    </row>
    <row r="503" spans="17:38">
      <c r="Q503" s="51"/>
      <c r="S503" s="29"/>
      <c r="T503" s="51"/>
      <c r="AE503" s="29"/>
      <c r="AF503" s="52"/>
      <c r="AG503" s="51"/>
      <c r="AH503" s="51"/>
      <c r="AI503" s="29"/>
      <c r="AJ503" s="52"/>
      <c r="AL503" s="29"/>
    </row>
    <row r="504" spans="17:38">
      <c r="Q504" s="51"/>
      <c r="S504" s="29"/>
      <c r="T504" s="51"/>
      <c r="AE504" s="29"/>
      <c r="AF504" s="52"/>
      <c r="AG504" s="51"/>
      <c r="AH504" s="51"/>
      <c r="AI504" s="29"/>
      <c r="AJ504" s="52"/>
      <c r="AL504" s="29"/>
    </row>
    <row r="505" spans="17:38">
      <c r="Q505" s="51"/>
      <c r="S505" s="29"/>
      <c r="T505" s="51"/>
      <c r="AE505" s="29"/>
      <c r="AF505" s="52"/>
      <c r="AG505" s="51"/>
      <c r="AH505" s="51"/>
      <c r="AI505" s="29"/>
      <c r="AJ505" s="52"/>
      <c r="AL505" s="29"/>
    </row>
    <row r="506" spans="17:38">
      <c r="Q506" s="51"/>
      <c r="S506" s="29"/>
      <c r="T506" s="51"/>
      <c r="AE506" s="29"/>
      <c r="AF506" s="52"/>
      <c r="AG506" s="51"/>
      <c r="AH506" s="51"/>
      <c r="AI506" s="29"/>
      <c r="AJ506" s="52"/>
      <c r="AL506" s="29"/>
    </row>
    <row r="507" spans="17:38">
      <c r="Q507" s="51"/>
      <c r="S507" s="29"/>
      <c r="T507" s="51"/>
      <c r="AE507" s="29"/>
      <c r="AF507" s="52"/>
      <c r="AG507" s="51"/>
      <c r="AH507" s="51"/>
      <c r="AI507" s="29"/>
      <c r="AJ507" s="52"/>
      <c r="AL507" s="29"/>
    </row>
    <row r="508" spans="17:38">
      <c r="Q508" s="51"/>
      <c r="S508" s="29"/>
      <c r="T508" s="51"/>
      <c r="AE508" s="29"/>
      <c r="AF508" s="52"/>
      <c r="AG508" s="51"/>
      <c r="AH508" s="51"/>
      <c r="AI508" s="29"/>
      <c r="AJ508" s="52"/>
      <c r="AL508" s="29"/>
    </row>
    <row r="509" spans="17:38">
      <c r="Q509" s="51"/>
      <c r="S509" s="29"/>
      <c r="T509" s="51"/>
      <c r="AE509" s="29"/>
      <c r="AF509" s="52"/>
      <c r="AG509" s="51"/>
      <c r="AH509" s="51"/>
      <c r="AI509" s="29"/>
      <c r="AJ509" s="52"/>
      <c r="AL509" s="29"/>
    </row>
    <row r="510" spans="17:38">
      <c r="Q510" s="51"/>
      <c r="S510" s="29"/>
      <c r="T510" s="51"/>
      <c r="AE510" s="29"/>
      <c r="AF510" s="52"/>
      <c r="AG510" s="51"/>
      <c r="AH510" s="51"/>
      <c r="AI510" s="29"/>
      <c r="AJ510" s="52"/>
      <c r="AL510" s="29"/>
    </row>
    <row r="511" spans="17:38">
      <c r="Q511" s="51"/>
      <c r="S511" s="29"/>
      <c r="T511" s="51"/>
      <c r="AE511" s="29"/>
      <c r="AF511" s="52"/>
      <c r="AG511" s="51"/>
      <c r="AH511" s="51"/>
      <c r="AI511" s="29"/>
      <c r="AJ511" s="52"/>
      <c r="AL511" s="29"/>
    </row>
    <row r="512" spans="17:38">
      <c r="Q512" s="51"/>
      <c r="S512" s="29"/>
      <c r="T512" s="51"/>
      <c r="AE512" s="29"/>
      <c r="AF512" s="52"/>
      <c r="AG512" s="51"/>
      <c r="AH512" s="51"/>
      <c r="AI512" s="29"/>
      <c r="AJ512" s="52"/>
      <c r="AL512" s="29"/>
    </row>
    <row r="513" spans="17:38">
      <c r="Q513" s="51"/>
      <c r="S513" s="29"/>
      <c r="T513" s="51"/>
      <c r="AE513" s="29"/>
      <c r="AF513" s="52"/>
      <c r="AG513" s="51"/>
      <c r="AH513" s="51"/>
      <c r="AI513" s="29"/>
      <c r="AJ513" s="52"/>
      <c r="AL513" s="29"/>
    </row>
    <row r="514" spans="17:38">
      <c r="Q514" s="51"/>
      <c r="S514" s="29"/>
      <c r="T514" s="51"/>
      <c r="AE514" s="29"/>
      <c r="AF514" s="52"/>
      <c r="AG514" s="51"/>
      <c r="AH514" s="51"/>
      <c r="AI514" s="29"/>
      <c r="AJ514" s="52"/>
      <c r="AL514" s="29"/>
    </row>
    <row r="515" spans="17:38">
      <c r="Q515" s="51"/>
      <c r="S515" s="29"/>
      <c r="T515" s="51"/>
      <c r="AE515" s="29"/>
      <c r="AF515" s="52"/>
      <c r="AG515" s="51"/>
      <c r="AH515" s="51"/>
      <c r="AI515" s="29"/>
      <c r="AJ515" s="52"/>
      <c r="AL515" s="29"/>
    </row>
    <row r="516" spans="17:38">
      <c r="Q516" s="51"/>
      <c r="S516" s="29"/>
      <c r="T516" s="51"/>
      <c r="AE516" s="29"/>
      <c r="AF516" s="52"/>
      <c r="AG516" s="51"/>
      <c r="AH516" s="51"/>
      <c r="AI516" s="29"/>
      <c r="AJ516" s="52"/>
      <c r="AL516" s="29"/>
    </row>
    <row r="517" spans="17:38">
      <c r="Q517" s="51"/>
      <c r="S517" s="29"/>
      <c r="T517" s="51"/>
      <c r="AE517" s="29"/>
      <c r="AF517" s="52"/>
      <c r="AG517" s="51"/>
      <c r="AH517" s="51"/>
      <c r="AI517" s="29"/>
      <c r="AJ517" s="52"/>
      <c r="AL517" s="29"/>
    </row>
    <row r="518" spans="17:38">
      <c r="Q518" s="51"/>
      <c r="S518" s="29"/>
      <c r="T518" s="51"/>
      <c r="AE518" s="29"/>
      <c r="AF518" s="52"/>
      <c r="AG518" s="51"/>
      <c r="AH518" s="51"/>
      <c r="AI518" s="29"/>
      <c r="AJ518" s="52"/>
      <c r="AL518" s="29"/>
    </row>
    <row r="519" spans="17:38">
      <c r="Q519" s="51"/>
      <c r="S519" s="29"/>
      <c r="T519" s="51"/>
      <c r="AE519" s="29"/>
      <c r="AF519" s="52"/>
      <c r="AG519" s="51"/>
      <c r="AH519" s="51"/>
      <c r="AI519" s="29"/>
      <c r="AJ519" s="52"/>
      <c r="AL519" s="29"/>
    </row>
    <row r="520" spans="17:38">
      <c r="Q520" s="51"/>
      <c r="S520" s="29"/>
      <c r="T520" s="51"/>
      <c r="AE520" s="29"/>
      <c r="AF520" s="52"/>
      <c r="AG520" s="51"/>
      <c r="AH520" s="51"/>
      <c r="AI520" s="29"/>
      <c r="AJ520" s="52"/>
      <c r="AL520" s="29"/>
    </row>
    <row r="521" spans="17:38">
      <c r="Q521" s="51"/>
      <c r="S521" s="29"/>
      <c r="T521" s="51"/>
      <c r="AE521" s="29"/>
      <c r="AF521" s="52"/>
      <c r="AG521" s="51"/>
      <c r="AH521" s="51"/>
      <c r="AI521" s="29"/>
      <c r="AJ521" s="52"/>
      <c r="AL521" s="29"/>
    </row>
    <row r="522" spans="17:38">
      <c r="Q522" s="51"/>
      <c r="S522" s="29"/>
      <c r="T522" s="51"/>
      <c r="AE522" s="29"/>
      <c r="AF522" s="52"/>
      <c r="AG522" s="51"/>
      <c r="AH522" s="51"/>
      <c r="AI522" s="29"/>
      <c r="AJ522" s="52"/>
      <c r="AL522" s="29"/>
    </row>
    <row r="523" spans="17:38">
      <c r="Q523" s="51"/>
      <c r="S523" s="29"/>
      <c r="T523" s="51"/>
      <c r="AE523" s="29"/>
      <c r="AF523" s="52"/>
      <c r="AG523" s="51"/>
      <c r="AH523" s="51"/>
      <c r="AI523" s="29"/>
      <c r="AJ523" s="52"/>
      <c r="AL523" s="29"/>
    </row>
    <row r="524" spans="17:38">
      <c r="Q524" s="51"/>
      <c r="S524" s="29"/>
      <c r="T524" s="51"/>
      <c r="AE524" s="29"/>
      <c r="AF524" s="52"/>
      <c r="AG524" s="51"/>
      <c r="AH524" s="51"/>
      <c r="AI524" s="29"/>
      <c r="AJ524" s="52"/>
      <c r="AL524" s="29"/>
    </row>
    <row r="525" spans="17:38">
      <c r="Q525" s="51"/>
      <c r="S525" s="29"/>
      <c r="T525" s="51"/>
      <c r="AE525" s="29"/>
      <c r="AF525" s="52"/>
      <c r="AG525" s="51"/>
      <c r="AH525" s="51"/>
      <c r="AI525" s="29"/>
      <c r="AJ525" s="52"/>
      <c r="AL525" s="29"/>
    </row>
    <row r="526" spans="17:38">
      <c r="Q526" s="51"/>
      <c r="S526" s="29"/>
      <c r="T526" s="51"/>
      <c r="AE526" s="29"/>
      <c r="AF526" s="52"/>
      <c r="AG526" s="51"/>
      <c r="AH526" s="51"/>
      <c r="AI526" s="29"/>
      <c r="AJ526" s="52"/>
      <c r="AL526" s="29"/>
    </row>
    <row r="527" spans="17:38">
      <c r="Q527" s="51"/>
      <c r="S527" s="29"/>
      <c r="T527" s="51"/>
      <c r="AE527" s="29"/>
      <c r="AF527" s="52"/>
      <c r="AG527" s="51"/>
      <c r="AH527" s="51"/>
      <c r="AI527" s="29"/>
      <c r="AJ527" s="52"/>
      <c r="AL527" s="29"/>
    </row>
    <row r="528" spans="17:38">
      <c r="Q528" s="51"/>
      <c r="S528" s="29"/>
      <c r="T528" s="51"/>
      <c r="AE528" s="29"/>
      <c r="AF528" s="52"/>
      <c r="AG528" s="51"/>
      <c r="AH528" s="51"/>
      <c r="AI528" s="29"/>
      <c r="AJ528" s="52"/>
      <c r="AL528" s="29"/>
    </row>
    <row r="529" spans="17:38">
      <c r="Q529" s="51"/>
      <c r="S529" s="29"/>
      <c r="T529" s="51"/>
      <c r="AE529" s="29"/>
      <c r="AF529" s="52"/>
      <c r="AG529" s="51"/>
      <c r="AH529" s="51"/>
      <c r="AI529" s="29"/>
      <c r="AJ529" s="52"/>
      <c r="AL529" s="29"/>
    </row>
    <row r="530" spans="17:38">
      <c r="Q530" s="51"/>
      <c r="S530" s="29"/>
      <c r="T530" s="51"/>
      <c r="AE530" s="29"/>
      <c r="AF530" s="52"/>
      <c r="AG530" s="51"/>
      <c r="AH530" s="51"/>
      <c r="AI530" s="29"/>
      <c r="AJ530" s="52"/>
      <c r="AL530" s="29"/>
    </row>
    <row r="531" spans="17:38">
      <c r="Q531" s="51"/>
      <c r="S531" s="29"/>
      <c r="T531" s="51"/>
      <c r="AE531" s="29"/>
      <c r="AF531" s="52"/>
      <c r="AG531" s="51"/>
      <c r="AH531" s="51"/>
      <c r="AI531" s="29"/>
      <c r="AJ531" s="52"/>
      <c r="AL531" s="29"/>
    </row>
    <row r="532" spans="17:38">
      <c r="Q532" s="51"/>
      <c r="S532" s="29"/>
      <c r="T532" s="51"/>
      <c r="AE532" s="29"/>
      <c r="AF532" s="52"/>
      <c r="AG532" s="51"/>
      <c r="AH532" s="51"/>
      <c r="AI532" s="29"/>
      <c r="AJ532" s="52"/>
      <c r="AL532" s="29"/>
    </row>
    <row r="533" spans="17:38">
      <c r="Q533" s="51"/>
      <c r="S533" s="29"/>
      <c r="T533" s="51"/>
      <c r="AE533" s="29"/>
      <c r="AF533" s="52"/>
      <c r="AG533" s="51"/>
      <c r="AH533" s="51"/>
      <c r="AI533" s="29"/>
      <c r="AJ533" s="52"/>
      <c r="AL533" s="29"/>
    </row>
    <row r="534" spans="17:38">
      <c r="Q534" s="51"/>
      <c r="S534" s="29"/>
      <c r="T534" s="51"/>
      <c r="AE534" s="29"/>
      <c r="AF534" s="52"/>
      <c r="AG534" s="51"/>
      <c r="AH534" s="51"/>
      <c r="AI534" s="29"/>
      <c r="AJ534" s="52"/>
      <c r="AL534" s="29"/>
    </row>
    <row r="535" spans="17:38">
      <c r="Q535" s="51"/>
      <c r="S535" s="29"/>
      <c r="T535" s="51"/>
      <c r="AE535" s="29"/>
      <c r="AF535" s="52"/>
      <c r="AG535" s="51"/>
      <c r="AH535" s="51"/>
      <c r="AI535" s="29"/>
      <c r="AJ535" s="52"/>
      <c r="AL535" s="29"/>
    </row>
    <row r="536" spans="17:38">
      <c r="Q536" s="51"/>
      <c r="S536" s="29"/>
      <c r="T536" s="51"/>
      <c r="AE536" s="29"/>
      <c r="AF536" s="52"/>
      <c r="AG536" s="51"/>
      <c r="AH536" s="51"/>
      <c r="AI536" s="29"/>
      <c r="AJ536" s="52"/>
      <c r="AL536" s="29"/>
    </row>
    <row r="537" spans="17:38">
      <c r="Q537" s="51"/>
      <c r="S537" s="29"/>
      <c r="T537" s="51"/>
      <c r="AE537" s="29"/>
      <c r="AF537" s="52"/>
      <c r="AG537" s="51"/>
      <c r="AH537" s="51"/>
      <c r="AI537" s="29"/>
      <c r="AJ537" s="52"/>
      <c r="AL537" s="29"/>
    </row>
    <row r="538" spans="17:38">
      <c r="Q538" s="51"/>
      <c r="S538" s="29"/>
      <c r="T538" s="51"/>
      <c r="AE538" s="29"/>
      <c r="AF538" s="52"/>
      <c r="AG538" s="51"/>
      <c r="AH538" s="51"/>
      <c r="AI538" s="29"/>
      <c r="AJ538" s="52"/>
      <c r="AL538" s="29"/>
    </row>
  </sheetData>
  <phoneticPr fontId="21" type="noConversion"/>
  <conditionalFormatting sqref="D30:G42 D23:G28 H23:H42 J283:J285 P115:P183 P61 C38:C42 C107 C82 I23:J28 J30:J43 D44:J47 I30:I47 C43:I43 D186:J199 D62:J74 J281 L281 I280:L280 I181:J183 J76:J104 J106:J129 D76:H183 I76:I129 I131:J154 I156:J179 L156:L179 L181:L183 L201:L204 I201:J204 I205:L205 L206:L229 I206:J229 I230:L230 I231:J254 L231:L254 I255:L255 L256:L279 I256:J279 I281:I285 L283:L285 L76:L104 J105:L105 L106:L129 I130:L130 L131:L154 I155:L155 L30:L47 L186:L199 AI115:AI183 O76:O183 N175 Q23:S28 Q30:R37 Q44:R47 S30:S47 O186:S199 Q76:S183 Q62:S74 M44:O47 L62:O74 M30:O37 L23:O28 AI201:AI285 AI61 AI186:AI199 N76:N162 M76:M111 I180:L180 N180 O201:P285 Q261 Q201:Q236 R201:R285 S201:S236 S259:S261 S284:S285 D201:H285 D60:J60 L60:V60 X60:AM60 AO60:AP60">
    <cfRule type="cellIs" dxfId="12" priority="81" stopIfTrue="1" operator="notEqual">
      <formula>$C23</formula>
    </cfRule>
  </conditionalFormatting>
  <conditionalFormatting sqref="D59:J59 L59:O59 Q59:S59 AN60">
    <cfRule type="cellIs" dxfId="11" priority="89" stopIfTrue="1" operator="notEqual">
      <formula>$C61</formula>
    </cfRule>
  </conditionalFormatting>
  <conditionalFormatting sqref="D57:J58 Q57:S58 L57:O58">
    <cfRule type="cellIs" dxfId="10" priority="95" stopIfTrue="1" operator="notEqual">
      <formula>$C61</formula>
    </cfRule>
  </conditionalFormatting>
  <conditionalFormatting sqref="P54:P57 D48:J51 Q48:S51 L48:O51 AI54:AI57">
    <cfRule type="cellIs" dxfId="9" priority="101" stopIfTrue="1" operator="notEqual">
      <formula>$C61</formula>
    </cfRule>
  </conditionalFormatting>
  <conditionalFormatting sqref="D53:J56 Q53:S56 L53:O56">
    <cfRule type="cellIs" dxfId="8" priority="107" stopIfTrue="1" operator="notEqual">
      <formula>$C67</formula>
    </cfRule>
  </conditionalFormatting>
  <conditionalFormatting sqref="P63:P114 P23:P58 Q38:R43 M38:O43 AI23:AI58 AI63:AI114">
    <cfRule type="cellIs" dxfId="7" priority="31" stopIfTrue="1" operator="notEqual">
      <formula>$C22</formula>
    </cfRule>
  </conditionalFormatting>
  <conditionalFormatting sqref="P58:P59 AI58:AI59">
    <cfRule type="cellIs" dxfId="6" priority="126" stopIfTrue="1" operator="notEqual">
      <formula>$C61</formula>
    </cfRule>
  </conditionalFormatting>
  <conditionalFormatting sqref="P49:P52 AI49:AI52">
    <cfRule type="cellIs" dxfId="5" priority="128" stopIfTrue="1" operator="notEqual">
      <formula>$C61</formula>
    </cfRule>
  </conditionalFormatting>
  <conditionalFormatting sqref="M155 M150 M112:M137 Q237:Q260 S237:S258">
    <cfRule type="cellIs" dxfId="4" priority="132" stopIfTrue="1" operator="notEqual">
      <formula>$C137</formula>
    </cfRule>
  </conditionalFormatting>
  <conditionalFormatting sqref="P61 AI61">
    <cfRule type="cellIs" dxfId="3" priority="142" stopIfTrue="1" operator="notEqual">
      <formula>$C59</formula>
    </cfRule>
  </conditionalFormatting>
  <conditionalFormatting sqref="W84:AG156 AM186:AM285 AM30:AM51 AJ208:AJ285 AJ23:AL51 AL186:AL206 AJ186:AJ206 AK186:AK283 AL208:AL283 AJ158:AM181 AM23:AM28 AJ13:AM13 AJ183:AM183 AH61:AH156 AH186:AH206 AI200 W30:AC51 W201:AE210 T61:T156 W212:AE285 L48:N59 T186:T285 Q48:S51 Q82:S82 Q107:S107 Q132:S132 Q157:S157 Q182:S182 R207 R232 R257 R282 W23:AD28 O182 T158:T181 T183 T30:T51 T23:T28 O200:S200 W13:AH13 W211:AH211 W186:AG200 X61:AG83 AF208:AH208 AF201:AG206 D59:F59 AF23:AH58 W158:AH181 W183:AH183 O48:O58 M211:N211 N161:N174 M136:M149 M158 N208 M183:N183 N186:N206 M161:M181 N176:N179 M151:M154 N181 M156 C48:J51 G58:H59 I52:J59 AJ61:AM156 C82:G82 C107:G107 D282:J282 K13 K23:K28 K183 K156 K181 I107:J107 I82:J82 D257:J257 D232:J232 D207:J207 D182:J182 D157:J157 D132:J132 C200:J200 K281:K285 K30:K104 K106:K129 K131:K154 K158:K179 K186:K204 K206:K229 K231:K254 K256:K279 L132:O132 L207 L232 L257 L200 L282 L182 L107:O107 L82:O82 L157 N157:O157 Q59:T59 AE23:AE59 AD30:AD59 AB52:AC59 Z58:AA59 W59:W83 X59:Y59 AJ59:AM59">
    <cfRule type="cellIs" dxfId="2" priority="82" stopIfTrue="1" operator="notEqual">
      <formula>#REF!</formula>
    </cfRule>
  </conditionalFormatting>
  <conditionalFormatting sqref="AI49:AI53 P49:P53">
    <cfRule type="cellIs" dxfId="1" priority="130" stopIfTrue="1" operator="notEqual">
      <formula>#REF!</formula>
    </cfRule>
  </conditionalFormatting>
  <conditionalFormatting sqref="Q48:S52 C48:J52 L48:O52">
    <cfRule type="cellIs" dxfId="0" priority="79" stopIfTrue="1" operator="notEqual">
      <formula>#REF!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PLP</vt:lpstr>
      <vt:lpstr>T2-lite</vt:lpstr>
      <vt:lpstr>Multiple PLP</vt:lpstr>
      <vt:lpstr>Excel_BuiltIn_Print_Area_1_1</vt:lpstr>
      <vt:lpstr>'Single PLP'!Print_Area</vt:lpstr>
      <vt:lpstr>'T2-lite'!Print_Area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Murphy</dc:creator>
  <cp:lastModifiedBy>Oliver Haffenden</cp:lastModifiedBy>
  <cp:lastPrinted>2011-08-22T12:12:39Z</cp:lastPrinted>
  <dcterms:created xsi:type="dcterms:W3CDTF">2010-05-24T13:28:15Z</dcterms:created>
  <dcterms:modified xsi:type="dcterms:W3CDTF">2021-02-02T09:22:01Z</dcterms:modified>
</cp:coreProperties>
</file>