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15" tabRatio="804" activeTab="0"/>
  </bookViews>
  <sheets>
    <sheet name="Single PLP" sheetId="1" r:id="rId1"/>
    <sheet name="Multiple PLP" sheetId="2" r:id="rId2"/>
  </sheets>
  <definedNames>
    <definedName name="alloc_common">'Multiple PLP'!#REF!</definedName>
    <definedName name="alloc_common_4">#REF!</definedName>
    <definedName name="alloc_type1">'Multiple PLP'!#REF!</definedName>
    <definedName name="alloc_type1_4">#REF!</definedName>
    <definedName name="alloc_type2">'Multiple PLP'!#REF!</definedName>
    <definedName name="alloc_type2_4">#REF!</definedName>
    <definedName name="BWT_EXT">#REF!</definedName>
    <definedName name="Cdatasymbol">#REF!</definedName>
    <definedName name="Cfcsymbol">#REF!</definedName>
    <definedName name="ConstellationOrder">#REF!</definedName>
    <definedName name="Cp2symbol">#REF!</definedName>
    <definedName name="Ctot">'Multiple PLP'!#REF!</definedName>
    <definedName name="Ctot_4">#REF!</definedName>
    <definedName name="D_L1">'Multiple PLP'!#REF!</definedName>
    <definedName name="D_L1_4">#REF!</definedName>
    <definedName name="Excel_BuiltIn_Print_Area_1_1">'Single PLP'!$A$4:$H$92</definedName>
    <definedName name="Excel_BuiltIn_Print_Area_1_1_2">#REF!</definedName>
    <definedName name="Excel_BuiltIn_Print_Area_1_1_3">#REF!</definedName>
    <definedName name="Excel_BuiltIn_Print_Area_2">#REF!</definedName>
    <definedName name="Excel_BuiltIn_Print_Area_2_1">#REF!</definedName>
    <definedName name="Excel_BuiltIn_Sheet_Title_1">"Sheet1"</definedName>
    <definedName name="Excel_BuiltIn_Sheet_Title_2">"Sheet2"</definedName>
    <definedName name="Excel_BuiltIn_Sheet_Title_3">"Sheet3"</definedName>
    <definedName name="FCS">#REF!</definedName>
    <definedName name="FCS_PP_subtable">#REF!</definedName>
    <definedName name="FCS_SISOMISO_subtable">#REF!</definedName>
    <definedName name="Ijump_common">'Multiple PLP'!#REF!</definedName>
    <definedName name="Ijump_common_4">#REF!</definedName>
    <definedName name="Ijump_type1">'Multiple PLP'!#REF!</definedName>
    <definedName name="Ijump_type1_4">#REF!</definedName>
    <definedName name="Ijump_type2">'Multiple PLP'!#REF!</definedName>
    <definedName name="Ijump_type2_4">#REF!</definedName>
    <definedName name="Kbch_common">'Multiple PLP'!#REF!</definedName>
    <definedName name="Kbch_common_4">#REF!</definedName>
    <definedName name="Kbch_type1">'Multiple PLP'!#REF!</definedName>
    <definedName name="Kbch_type1_4">#REF!</definedName>
    <definedName name="Kbch_type2">'Multiple PLP'!#REF!</definedName>
    <definedName name="Kbch_type2_4">#REF!</definedName>
    <definedName name="Lf">'Multiple PLP'!#REF!</definedName>
    <definedName name="Lf_4">#REF!</definedName>
    <definedName name="Ncells_common">'Multiple PLP'!#REF!</definedName>
    <definedName name="Ncells_common_4">#REF!</definedName>
    <definedName name="Ncells_type1">'Multiple PLP'!#REF!</definedName>
    <definedName name="Ncells_type1_4">#REF!</definedName>
    <definedName name="Ncells_type2">'Multiple PLP'!#REF!</definedName>
    <definedName name="Ncells_type2_4">#REF!</definedName>
    <definedName name="Np2symbol">#REF!</definedName>
    <definedName name="Pi_common">'Multiple PLP'!#REF!</definedName>
    <definedName name="Pi_common_4">#REF!</definedName>
    <definedName name="Pi_type1">'Multiple PLP'!#REF!</definedName>
    <definedName name="Pi_type1_4">#REF!</definedName>
    <definedName name="Pi_type2">'Multiple PLP'!#REF!</definedName>
    <definedName name="Pi_type2_4">#REF!</definedName>
    <definedName name="plot_bit_rate">OFFSET('Multiple PLP'!#REF!,'Multiple PLP'!#REF!,0,'Multiple PLP'!#REF!)</definedName>
    <definedName name="plot_bit_rate_4">OFFSET(#REF!,#REF!,0,#REF!)</definedName>
    <definedName name="plot_lf">OFFSET('Multiple PLP'!#REF!,'Multiple PLP'!#REF!,0,'Multiple PLP'!#REF!)</definedName>
    <definedName name="plot_lf_4">OFFSET(#REF!,#REF!,0,#REF!)</definedName>
    <definedName name="plot_ti">OFFSET('Multiple PLP'!#REF!,'Multiple PLP'!#REF!,0,'Multiple PLP'!#REF!)</definedName>
    <definedName name="plot_ti_4">OFFSET(#REF!,#REF!,0,#REF!)</definedName>
    <definedName name="PP">#REF!</definedName>
    <definedName name="_xlnm.Print_Area" localSheetId="0">'Single PLP'!$A$1:$AC$106</definedName>
    <definedName name="Rmax_common">'Multiple PLP'!#REF!</definedName>
    <definedName name="Rmax_common_4">#REF!</definedName>
    <definedName name="Rmax_type1">'Multiple PLP'!#REF!</definedName>
    <definedName name="Rmax_type1_4">#REF!</definedName>
    <definedName name="Rmax_type2">'Multiple PLP'!#REF!</definedName>
    <definedName name="Rmax_type2_4">#REF!</definedName>
    <definedName name="Rmin_type2">'Multiple PLP'!#REF!</definedName>
    <definedName name="Rmin_type2_4">#REF!</definedName>
    <definedName name="SISOMISO">#REF!</definedName>
    <definedName name="Tcommon">'Multiple PLP'!#REF!</definedName>
    <definedName name="Tcommon_4">#REF!</definedName>
    <definedName name="Tl1">'Multiple PLP'!#REF!</definedName>
    <definedName name="Tl1_4">#REF!</definedName>
    <definedName name="Toverlap_common">'Multiple PLP'!#REF!</definedName>
    <definedName name="Toverlap_common_4">#REF!</definedName>
    <definedName name="Toverlap_type1">'Multiple PLP'!#REF!</definedName>
    <definedName name="Toverlap_type1_4">#REF!</definedName>
    <definedName name="Toverlap_type2">'Multiple PLP'!#REF!</definedName>
    <definedName name="Toverlap_type2_4">#REF!</definedName>
    <definedName name="Tp1">'Multiple PLP'!#REF!</definedName>
    <definedName name="Tp1_4">#REF!</definedName>
    <definedName name="TR">#REF!</definedName>
    <definedName name="TR_subtable">#REF!</definedName>
    <definedName name="Ts">'Multiple PLP'!#REF!</definedName>
    <definedName name="Ts_4">#REF!</definedName>
    <definedName name="Ttype1">'Multiple PLP'!#REF!</definedName>
    <definedName name="Ttype1_4">#REF!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H17" authorId="0">
      <text>
        <r>
          <rPr>
            <b/>
            <sz val="8"/>
            <color indexed="8"/>
            <rFont val="Nimbus Roman No9 L"/>
            <family val="1"/>
          </rPr>
          <t xml:space="preserve">Oliver Haffenden:
</t>
        </r>
        <r>
          <rPr>
            <sz val="8"/>
            <color indexed="8"/>
            <rFont val="Nimbus Roman No9 L"/>
            <family val="1"/>
          </rPr>
          <t xml:space="preserve">List in first pair of {} is for PLP0-PLP2. Second {} is for PLP4-7
</t>
        </r>
      </text>
    </comment>
    <comment ref="K17" authorId="0">
      <text>
        <r>
          <rPr>
            <b/>
            <sz val="8"/>
            <color indexed="8"/>
            <rFont val="Nimbus Roman No9 L"/>
            <family val="1"/>
          </rPr>
          <t xml:space="preserve">Oliver Haffenden:
</t>
        </r>
        <r>
          <rPr>
            <sz val="8"/>
            <color indexed="8"/>
            <rFont val="Nimbus Roman No9 L"/>
            <family val="1"/>
          </rPr>
          <t xml:space="preserve">List in first pair of {} is for PLP0-PLP2. Second {} is for PLP4-7
</t>
        </r>
      </text>
    </comment>
    <comment ref="L17" authorId="0">
      <text>
        <r>
          <rPr>
            <b/>
            <sz val="8"/>
            <color indexed="8"/>
            <rFont val="Nimbus Roman No9 L"/>
            <family val="1"/>
          </rPr>
          <t xml:space="preserve">Oliver Haffenden:
</t>
        </r>
        <r>
          <rPr>
            <sz val="8"/>
            <color indexed="8"/>
            <rFont val="Nimbus Roman No9 L"/>
            <family val="1"/>
          </rPr>
          <t xml:space="preserve">List in first pair of {} is for PLP0-PLP2. Second {} is for PLP4-7
</t>
        </r>
      </text>
    </comment>
    <comment ref="M17" authorId="0">
      <text>
        <r>
          <rPr>
            <b/>
            <sz val="8"/>
            <color indexed="8"/>
            <rFont val="Nimbus Roman No9 L"/>
            <family val="1"/>
          </rPr>
          <t xml:space="preserve">Oliver Haffenden:
</t>
        </r>
        <r>
          <rPr>
            <sz val="8"/>
            <color indexed="8"/>
            <rFont val="Nimbus Roman No9 L"/>
            <family val="1"/>
          </rPr>
          <t xml:space="preserve">PLP0-PLP5
</t>
        </r>
      </text>
    </comment>
    <comment ref="N17" authorId="0">
      <text>
        <r>
          <rPr>
            <b/>
            <sz val="8"/>
            <color indexed="8"/>
            <rFont val="Nimbus Roman No9 L"/>
            <family val="1"/>
          </rPr>
          <t xml:space="preserve">Oliver Haffenden:
</t>
        </r>
        <r>
          <rPr>
            <sz val="8"/>
            <color indexed="8"/>
            <rFont val="Nimbus Roman No9 L"/>
            <family val="1"/>
          </rPr>
          <t xml:space="preserve">List in first pair of {} is for PLP0-PLP2. Second {} is for PLP4-7
</t>
        </r>
      </text>
    </comment>
    <comment ref="O17" authorId="0">
      <text>
        <r>
          <rPr>
            <b/>
            <sz val="8"/>
            <color indexed="8"/>
            <rFont val="Nimbus Roman No9 L"/>
            <family val="1"/>
          </rPr>
          <t xml:space="preserve">Oliver Haffenden:
</t>
        </r>
        <r>
          <rPr>
            <sz val="8"/>
            <color indexed="8"/>
            <rFont val="Nimbus Roman No9 L"/>
            <family val="1"/>
          </rPr>
          <t>List in first pair of {} is for PLP0-PLP2. Second {} is for PLP4-85</t>
        </r>
      </text>
    </comment>
    <comment ref="P17" authorId="0">
      <text>
        <r>
          <rPr>
            <b/>
            <sz val="8"/>
            <color indexed="8"/>
            <rFont val="Nimbus Roman No9 L"/>
            <family val="1"/>
          </rPr>
          <t xml:space="preserve">Chris Nokes:
</t>
        </r>
        <r>
          <rPr>
            <sz val="8"/>
            <color indexed="8"/>
            <rFont val="Nimbus Roman No9 L"/>
            <family val="1"/>
          </rPr>
          <t>List in first pair of {} is for PLP0-PLP2. Second {} is for PLP4-17</t>
        </r>
      </text>
    </comment>
    <comment ref="H18" authorId="0">
      <text>
        <r>
          <rPr>
            <b/>
            <sz val="8"/>
            <color indexed="8"/>
            <rFont val="Nimbus Roman No9 L"/>
            <family val="1"/>
          </rPr>
          <t xml:space="preserve">Oliver Haffenden:
</t>
        </r>
        <r>
          <rPr>
            <sz val="8"/>
            <color indexed="8"/>
            <rFont val="Nimbus Roman No9 L"/>
            <family val="1"/>
          </rPr>
          <t>PLP0</t>
        </r>
      </text>
    </comment>
    <comment ref="K18" authorId="0">
      <text>
        <r>
          <rPr>
            <b/>
            <sz val="8"/>
            <color indexed="8"/>
            <rFont val="Nimbus Roman No9 L"/>
            <family val="1"/>
          </rPr>
          <t xml:space="preserve">Oliver Haffenden:
</t>
        </r>
        <r>
          <rPr>
            <sz val="8"/>
            <color indexed="8"/>
            <rFont val="Nimbus Roman No9 L"/>
            <family val="1"/>
          </rPr>
          <t>PLP0</t>
        </r>
      </text>
    </comment>
    <comment ref="L18" authorId="0">
      <text>
        <r>
          <rPr>
            <b/>
            <sz val="8"/>
            <color indexed="8"/>
            <rFont val="Nimbus Roman No9 L"/>
            <family val="1"/>
          </rPr>
          <t xml:space="preserve">Oliver Haffenden:
</t>
        </r>
        <r>
          <rPr>
            <sz val="8"/>
            <color indexed="8"/>
            <rFont val="Nimbus Roman No9 L"/>
            <family val="1"/>
          </rPr>
          <t>PLP0</t>
        </r>
      </text>
    </comment>
    <comment ref="M18" authorId="0">
      <text>
        <r>
          <rPr>
            <sz val="8"/>
            <color indexed="8"/>
            <rFont val="Nimbus Roman No9 L"/>
            <family val="1"/>
          </rPr>
          <t xml:space="preserve">PLPs 0-5 all have only one chapter with run length of 1
</t>
        </r>
      </text>
    </comment>
    <comment ref="N18" authorId="0">
      <text>
        <r>
          <rPr>
            <b/>
            <sz val="8"/>
            <color indexed="8"/>
            <rFont val="Nimbus Roman No9 L"/>
            <family val="1"/>
          </rPr>
          <t xml:space="preserve">Oliver Haffenden:
</t>
        </r>
        <r>
          <rPr>
            <sz val="8"/>
            <color indexed="8"/>
            <rFont val="Nimbus Roman No9 L"/>
            <family val="1"/>
          </rPr>
          <t>PLP0</t>
        </r>
      </text>
    </comment>
    <comment ref="O18" authorId="0">
      <text>
        <r>
          <rPr>
            <b/>
            <sz val="8"/>
            <color indexed="8"/>
            <rFont val="Nimbus Roman No9 L"/>
            <family val="1"/>
          </rPr>
          <t xml:space="preserve">Oliver Haffenden:
</t>
        </r>
        <r>
          <rPr>
            <sz val="8"/>
            <color indexed="8"/>
            <rFont val="Nimbus Roman No9 L"/>
            <family val="1"/>
          </rPr>
          <t>PLP0</t>
        </r>
      </text>
    </comment>
    <comment ref="P18" authorId="0">
      <text>
        <r>
          <rPr>
            <b/>
            <sz val="8"/>
            <color indexed="8"/>
            <rFont val="Nimbus Roman No9 L"/>
            <family val="1"/>
          </rPr>
          <t xml:space="preserve">Oliver Haffenden:
</t>
        </r>
        <r>
          <rPr>
            <sz val="8"/>
            <color indexed="8"/>
            <rFont val="Nimbus Roman No9 L"/>
            <family val="1"/>
          </rPr>
          <t>PLP0</t>
        </r>
      </text>
    </comment>
    <comment ref="H19" authorId="0">
      <text>
        <r>
          <rPr>
            <b/>
            <sz val="8"/>
            <color indexed="8"/>
            <rFont val="Nimbus Roman No9 L"/>
            <family val="1"/>
          </rPr>
          <t xml:space="preserve">Oliver Haffenden:
</t>
        </r>
        <r>
          <rPr>
            <sz val="8"/>
            <color indexed="8"/>
            <rFont val="Nimbus Roman No9 L"/>
            <family val="1"/>
          </rPr>
          <t>PLP 1</t>
        </r>
      </text>
    </comment>
    <comment ref="K19" authorId="0">
      <text>
        <r>
          <rPr>
            <b/>
            <sz val="8"/>
            <color indexed="8"/>
            <rFont val="Nimbus Roman No9 L"/>
            <family val="1"/>
          </rPr>
          <t xml:space="preserve">Oliver Haffenden:
</t>
        </r>
        <r>
          <rPr>
            <sz val="8"/>
            <color indexed="8"/>
            <rFont val="Nimbus Roman No9 L"/>
            <family val="1"/>
          </rPr>
          <t>PLP 1</t>
        </r>
      </text>
    </comment>
    <comment ref="L19" authorId="0">
      <text>
        <r>
          <rPr>
            <b/>
            <sz val="8"/>
            <color indexed="8"/>
            <rFont val="Nimbus Roman No9 L"/>
            <family val="1"/>
          </rPr>
          <t xml:space="preserve">Oliver Haffenden:
</t>
        </r>
        <r>
          <rPr>
            <sz val="8"/>
            <color indexed="8"/>
            <rFont val="Nimbus Roman No9 L"/>
            <family val="1"/>
          </rPr>
          <t>PLP 1</t>
        </r>
      </text>
    </comment>
    <comment ref="N19" authorId="0">
      <text>
        <r>
          <rPr>
            <b/>
            <sz val="8"/>
            <color indexed="8"/>
            <rFont val="Nimbus Roman No9 L"/>
            <family val="1"/>
          </rPr>
          <t xml:space="preserve">Oliver Haffenden:
</t>
        </r>
        <r>
          <rPr>
            <sz val="8"/>
            <color indexed="8"/>
            <rFont val="Nimbus Roman No9 L"/>
            <family val="1"/>
          </rPr>
          <t>PLP 1</t>
        </r>
      </text>
    </comment>
    <comment ref="O19" authorId="0">
      <text>
        <r>
          <rPr>
            <b/>
            <sz val="8"/>
            <color indexed="8"/>
            <rFont val="Nimbus Roman No9 L"/>
            <family val="1"/>
          </rPr>
          <t xml:space="preserve">Oliver Haffenden:
</t>
        </r>
        <r>
          <rPr>
            <sz val="8"/>
            <color indexed="8"/>
            <rFont val="Nimbus Roman No9 L"/>
            <family val="1"/>
          </rPr>
          <t>PLP 1</t>
        </r>
      </text>
    </comment>
    <comment ref="P19" authorId="0">
      <text>
        <r>
          <rPr>
            <b/>
            <sz val="8"/>
            <color indexed="8"/>
            <rFont val="Nimbus Roman No9 L"/>
            <family val="1"/>
          </rPr>
          <t xml:space="preserve">Oliver Haffenden:
</t>
        </r>
        <r>
          <rPr>
            <sz val="8"/>
            <color indexed="8"/>
            <rFont val="Nimbus Roman No9 L"/>
            <family val="1"/>
          </rPr>
          <t>PLP 1</t>
        </r>
      </text>
    </comment>
    <comment ref="H20" authorId="0">
      <text>
        <r>
          <rPr>
            <b/>
            <sz val="8"/>
            <color indexed="8"/>
            <rFont val="Nimbus Roman No9 L"/>
            <family val="1"/>
          </rPr>
          <t xml:space="preserve">Oliver Haffenden:
</t>
        </r>
        <r>
          <rPr>
            <sz val="8"/>
            <color indexed="8"/>
            <rFont val="Nimbus Roman No9 L"/>
            <family val="1"/>
          </rPr>
          <t>PLP2</t>
        </r>
      </text>
    </comment>
    <comment ref="K20" authorId="0">
      <text>
        <r>
          <rPr>
            <b/>
            <sz val="8"/>
            <color indexed="8"/>
            <rFont val="Nimbus Roman No9 L"/>
            <family val="1"/>
          </rPr>
          <t xml:space="preserve">Oliver Haffenden:
</t>
        </r>
        <r>
          <rPr>
            <sz val="8"/>
            <color indexed="8"/>
            <rFont val="Nimbus Roman No9 L"/>
            <family val="1"/>
          </rPr>
          <t>PLP2</t>
        </r>
      </text>
    </comment>
    <comment ref="L20" authorId="0">
      <text>
        <r>
          <rPr>
            <b/>
            <sz val="8"/>
            <color indexed="8"/>
            <rFont val="Nimbus Roman No9 L"/>
            <family val="1"/>
          </rPr>
          <t xml:space="preserve">Oliver Haffenden:
</t>
        </r>
        <r>
          <rPr>
            <sz val="8"/>
            <color indexed="8"/>
            <rFont val="Nimbus Roman No9 L"/>
            <family val="1"/>
          </rPr>
          <t>PLP2</t>
        </r>
      </text>
    </comment>
    <comment ref="N20" authorId="0">
      <text>
        <r>
          <rPr>
            <b/>
            <sz val="8"/>
            <color indexed="8"/>
            <rFont val="Nimbus Roman No9 L"/>
            <family val="1"/>
          </rPr>
          <t xml:space="preserve">Oliver Haffenden:
</t>
        </r>
        <r>
          <rPr>
            <sz val="8"/>
            <color indexed="8"/>
            <rFont val="Nimbus Roman No9 L"/>
            <family val="1"/>
          </rPr>
          <t>PLP2</t>
        </r>
      </text>
    </comment>
    <comment ref="O20" authorId="0">
      <text>
        <r>
          <rPr>
            <b/>
            <sz val="8"/>
            <color indexed="8"/>
            <rFont val="Nimbus Roman No9 L"/>
            <family val="1"/>
          </rPr>
          <t xml:space="preserve">Oliver Haffenden:
</t>
        </r>
        <r>
          <rPr>
            <sz val="8"/>
            <color indexed="8"/>
            <rFont val="Nimbus Roman No9 L"/>
            <family val="1"/>
          </rPr>
          <t>PLP2</t>
        </r>
      </text>
    </comment>
    <comment ref="P20" authorId="0">
      <text>
        <r>
          <rPr>
            <b/>
            <sz val="8"/>
            <color indexed="8"/>
            <rFont val="Nimbus Roman No9 L"/>
            <family val="1"/>
          </rPr>
          <t xml:space="preserve">Oliver Haffenden:
</t>
        </r>
        <r>
          <rPr>
            <sz val="8"/>
            <color indexed="8"/>
            <rFont val="Nimbus Roman No9 L"/>
            <family val="1"/>
          </rPr>
          <t>PLP2</t>
        </r>
      </text>
    </comment>
    <comment ref="H21" authorId="0">
      <text>
        <r>
          <rPr>
            <b/>
            <sz val="8"/>
            <color indexed="8"/>
            <rFont val="Nimbus Roman No9 L"/>
            <family val="1"/>
          </rPr>
          <t xml:space="preserve">Oliver Haffenden:
</t>
        </r>
        <r>
          <rPr>
            <sz val="8"/>
            <color indexed="8"/>
            <rFont val="Nimbus Roman No9 L"/>
            <family val="1"/>
          </rPr>
          <t>PLPs 4-7 all have only one chapter with run length of 1</t>
        </r>
      </text>
    </comment>
    <comment ref="K21" authorId="0">
      <text>
        <r>
          <rPr>
            <b/>
            <sz val="8"/>
            <color indexed="8"/>
            <rFont val="Nimbus Roman No9 L"/>
            <family val="1"/>
          </rPr>
          <t xml:space="preserve">Oliver Haffenden:
</t>
        </r>
        <r>
          <rPr>
            <sz val="8"/>
            <color indexed="8"/>
            <rFont val="Nimbus Roman No9 L"/>
            <family val="1"/>
          </rPr>
          <t>PLPs 4-7 all have only one chapter with run length of 1</t>
        </r>
      </text>
    </comment>
    <comment ref="L21" authorId="0">
      <text>
        <r>
          <rPr>
            <b/>
            <sz val="8"/>
            <color indexed="8"/>
            <rFont val="Nimbus Roman No9 L"/>
            <family val="1"/>
          </rPr>
          <t xml:space="preserve">Oliver Haffenden:
</t>
        </r>
        <r>
          <rPr>
            <sz val="8"/>
            <color indexed="8"/>
            <rFont val="Nimbus Roman No9 L"/>
            <family val="1"/>
          </rPr>
          <t>PLPs 4-7 all have only one chapter with run length of 1</t>
        </r>
      </text>
    </comment>
    <comment ref="N21" authorId="0">
      <text>
        <r>
          <rPr>
            <b/>
            <sz val="8"/>
            <color indexed="8"/>
            <rFont val="Nimbus Roman No9 L"/>
            <family val="1"/>
          </rPr>
          <t xml:space="preserve">Oliver Haffenden:
</t>
        </r>
        <r>
          <rPr>
            <sz val="8"/>
            <color indexed="8"/>
            <rFont val="Nimbus Roman No9 L"/>
            <family val="1"/>
          </rPr>
          <t>PLPs 4-7 all have only one chapter with run length of 1</t>
        </r>
      </text>
    </comment>
    <comment ref="O21" authorId="0">
      <text>
        <r>
          <rPr>
            <b/>
            <sz val="8"/>
            <color indexed="8"/>
            <rFont val="Nimbus Roman No9 L"/>
            <family val="1"/>
          </rPr>
          <t xml:space="preserve">Oliver Haffenden:
</t>
        </r>
        <r>
          <rPr>
            <sz val="8"/>
            <color indexed="8"/>
            <rFont val="Nimbus Roman No9 L"/>
            <family val="1"/>
          </rPr>
          <t>PLPs 4-85 all have only one chapter with run length of 1</t>
        </r>
      </text>
    </comment>
    <comment ref="P21" authorId="0">
      <text>
        <r>
          <rPr>
            <b/>
            <sz val="8"/>
            <color indexed="8"/>
            <rFont val="Nimbus Roman No9 L"/>
            <family val="1"/>
          </rPr>
          <t xml:space="preserve">Chris Nokes:
</t>
        </r>
        <r>
          <rPr>
            <sz val="8"/>
            <color indexed="8"/>
            <rFont val="Nimbus Roman No9 L"/>
            <family val="1"/>
          </rPr>
          <t>PLPs 4-17 all have only one chapter with run length of 1</t>
        </r>
      </text>
    </comment>
    <comment ref="H23" authorId="0">
      <text>
        <r>
          <rPr>
            <b/>
            <sz val="8"/>
            <color indexed="8"/>
            <rFont val="Nimbus Roman No9 L"/>
            <family val="1"/>
          </rPr>
          <t xml:space="preserve">Oliver Haffenden:
</t>
        </r>
        <r>
          <rPr>
            <sz val="8"/>
            <color indexed="8"/>
            <rFont val="Nimbus Roman No9 L"/>
            <family val="1"/>
          </rPr>
          <t>Ideally a whole superframe would be generated but the chapter definitions currently cover 8 frames</t>
        </r>
      </text>
    </comment>
    <comment ref="K23" authorId="0">
      <text>
        <r>
          <rPr>
            <b/>
            <sz val="8"/>
            <color indexed="8"/>
            <rFont val="Nimbus Roman No9 L"/>
            <family val="1"/>
          </rPr>
          <t xml:space="preserve">Oliver Haffenden:
</t>
        </r>
        <r>
          <rPr>
            <sz val="8"/>
            <color indexed="8"/>
            <rFont val="Nimbus Roman No9 L"/>
            <family val="1"/>
          </rPr>
          <t>Ideally a whole superframe would be generated but the chapter definitions currently cover 8 frames</t>
        </r>
      </text>
    </comment>
    <comment ref="L23" authorId="0">
      <text>
        <r>
          <rPr>
            <b/>
            <sz val="8"/>
            <color indexed="8"/>
            <rFont val="Nimbus Roman No9 L"/>
            <family val="1"/>
          </rPr>
          <t xml:space="preserve">Oliver Haffenden:
</t>
        </r>
        <r>
          <rPr>
            <sz val="8"/>
            <color indexed="8"/>
            <rFont val="Nimbus Roman No9 L"/>
            <family val="1"/>
          </rPr>
          <t>Ideally a whole superframe would be generated but the chapter definitions currently cover 8 frames</t>
        </r>
      </text>
    </comment>
    <comment ref="M23" authorId="0">
      <text>
        <r>
          <rPr>
            <b/>
            <sz val="8"/>
            <color indexed="8"/>
            <rFont val="Nimbus Roman No9 L"/>
            <family val="1"/>
          </rPr>
          <t xml:space="preserve">Oliver Haffenden:
</t>
        </r>
        <r>
          <rPr>
            <sz val="8"/>
            <color indexed="8"/>
            <rFont val="Nimbus Roman No9 L"/>
            <family val="1"/>
          </rPr>
          <t>Ideally a whole superframe would be generated but the chapter definitions currently cover 8 frames</t>
        </r>
      </text>
    </comment>
    <comment ref="N23" authorId="0">
      <text>
        <r>
          <rPr>
            <b/>
            <sz val="8"/>
            <color indexed="8"/>
            <rFont val="Nimbus Roman No9 L"/>
            <family val="1"/>
          </rPr>
          <t xml:space="preserve">Oliver Haffenden:
</t>
        </r>
        <r>
          <rPr>
            <sz val="8"/>
            <color indexed="8"/>
            <rFont val="Nimbus Roman No9 L"/>
            <family val="1"/>
          </rPr>
          <t>Ideally a whole superframe would be generated but the chapter definitions currently cover 8 frames</t>
        </r>
      </text>
    </comment>
    <comment ref="M47" authorId="0">
      <text>
        <r>
          <rPr>
            <b/>
            <sz val="8"/>
            <color indexed="8"/>
            <rFont val="Nimbus Roman No9 L"/>
            <family val="1"/>
          </rPr>
          <t xml:space="preserve">Chris Nokes:
</t>
        </r>
        <r>
          <rPr>
            <sz val="8"/>
            <color indexed="8"/>
            <rFont val="Nimbus Roman No9 L"/>
            <family val="1"/>
          </rPr>
          <t>The AUX parameters are just for signalling, and apply to all 5 aux's. No aux streams are inserted.</t>
        </r>
      </text>
    </comment>
    <comment ref="S17" authorId="0">
      <text>
        <r>
          <rPr>
            <b/>
            <sz val="8"/>
            <color indexed="8"/>
            <rFont val="Times New Roman"/>
            <family val="1"/>
          </rPr>
          <t xml:space="preserve">Oliver Haffenden:
</t>
        </r>
        <r>
          <rPr>
            <sz val="8"/>
            <color indexed="8"/>
            <rFont val="Times New Roman"/>
            <family val="1"/>
          </rPr>
          <t xml:space="preserve">List in first pair of {} is for PLP0-PLP2. Second {} is for PLP4-7
</t>
        </r>
      </text>
    </comment>
    <comment ref="T17" authorId="0">
      <text>
        <r>
          <rPr>
            <b/>
            <sz val="8"/>
            <color indexed="8"/>
            <rFont val="Times New Roman"/>
            <family val="1"/>
          </rPr>
          <t xml:space="preserve">Oliver Haffenden:
</t>
        </r>
        <r>
          <rPr>
            <sz val="8"/>
            <color indexed="8"/>
            <rFont val="Times New Roman"/>
            <family val="1"/>
          </rPr>
          <t xml:space="preserve">List in first pair of {} is for PLP0-PLP2. Second {} is for PLP4-7
</t>
        </r>
      </text>
    </comment>
    <comment ref="U17" authorId="0">
      <text>
        <r>
          <rPr>
            <b/>
            <sz val="8"/>
            <color indexed="8"/>
            <rFont val="Times New Roman"/>
            <family val="1"/>
          </rPr>
          <t xml:space="preserve">Oliver Haffenden:
</t>
        </r>
        <r>
          <rPr>
            <sz val="8"/>
            <color indexed="8"/>
            <rFont val="Times New Roman"/>
            <family val="1"/>
          </rPr>
          <t xml:space="preserve">List in first pair of {} is for PLP0-PLP2. Second {} is for PLP4-7
</t>
        </r>
      </text>
    </comment>
    <comment ref="S18" authorId="0">
      <text>
        <r>
          <rPr>
            <b/>
            <sz val="8"/>
            <color indexed="8"/>
            <rFont val="Times New Roman"/>
            <family val="1"/>
          </rPr>
          <t xml:space="preserve">Oliver Haffenden:
</t>
        </r>
        <r>
          <rPr>
            <sz val="8"/>
            <color indexed="8"/>
            <rFont val="Times New Roman"/>
            <family val="1"/>
          </rPr>
          <t>PLP0</t>
        </r>
      </text>
    </comment>
    <comment ref="T18" authorId="0">
      <text>
        <r>
          <rPr>
            <b/>
            <sz val="8"/>
            <color indexed="8"/>
            <rFont val="Times New Roman"/>
            <family val="1"/>
          </rPr>
          <t xml:space="preserve">Oliver Haffenden:
</t>
        </r>
        <r>
          <rPr>
            <sz val="8"/>
            <color indexed="8"/>
            <rFont val="Times New Roman"/>
            <family val="1"/>
          </rPr>
          <t>PLP0</t>
        </r>
      </text>
    </comment>
    <comment ref="U18" authorId="0">
      <text>
        <r>
          <rPr>
            <b/>
            <sz val="8"/>
            <color indexed="8"/>
            <rFont val="Times New Roman"/>
            <family val="1"/>
          </rPr>
          <t xml:space="preserve">Oliver Haffenden:
</t>
        </r>
        <r>
          <rPr>
            <sz val="8"/>
            <color indexed="8"/>
            <rFont val="Times New Roman"/>
            <family val="1"/>
          </rPr>
          <t>PLP0</t>
        </r>
      </text>
    </comment>
    <comment ref="S19" authorId="0">
      <text>
        <r>
          <rPr>
            <b/>
            <sz val="8"/>
            <color indexed="8"/>
            <rFont val="Times New Roman"/>
            <family val="1"/>
          </rPr>
          <t xml:space="preserve">Oliver Haffenden:
</t>
        </r>
        <r>
          <rPr>
            <sz val="8"/>
            <color indexed="8"/>
            <rFont val="Times New Roman"/>
            <family val="1"/>
          </rPr>
          <t>PLP 1</t>
        </r>
      </text>
    </comment>
    <comment ref="T19" authorId="0">
      <text>
        <r>
          <rPr>
            <b/>
            <sz val="8"/>
            <color indexed="8"/>
            <rFont val="Times New Roman"/>
            <family val="1"/>
          </rPr>
          <t xml:space="preserve">Oliver Haffenden:
</t>
        </r>
        <r>
          <rPr>
            <sz val="8"/>
            <color indexed="8"/>
            <rFont val="Times New Roman"/>
            <family val="1"/>
          </rPr>
          <t>PLP 1</t>
        </r>
      </text>
    </comment>
    <comment ref="U19" authorId="0">
      <text>
        <r>
          <rPr>
            <b/>
            <sz val="8"/>
            <color indexed="8"/>
            <rFont val="Times New Roman"/>
            <family val="1"/>
          </rPr>
          <t xml:space="preserve">Oliver Haffenden:
</t>
        </r>
        <r>
          <rPr>
            <sz val="8"/>
            <color indexed="8"/>
            <rFont val="Times New Roman"/>
            <family val="1"/>
          </rPr>
          <t>PLP 1</t>
        </r>
      </text>
    </comment>
    <comment ref="S20" authorId="0">
      <text>
        <r>
          <rPr>
            <b/>
            <sz val="8"/>
            <color indexed="8"/>
            <rFont val="Times New Roman"/>
            <family val="1"/>
          </rPr>
          <t xml:space="preserve">Oliver Haffenden:
</t>
        </r>
        <r>
          <rPr>
            <sz val="8"/>
            <color indexed="8"/>
            <rFont val="Times New Roman"/>
            <family val="1"/>
          </rPr>
          <t>PLP2</t>
        </r>
      </text>
    </comment>
    <comment ref="T20" authorId="0">
      <text>
        <r>
          <rPr>
            <b/>
            <sz val="8"/>
            <color indexed="8"/>
            <rFont val="Times New Roman"/>
            <family val="1"/>
          </rPr>
          <t xml:space="preserve">Oliver Haffenden:
</t>
        </r>
        <r>
          <rPr>
            <sz val="8"/>
            <color indexed="8"/>
            <rFont val="Times New Roman"/>
            <family val="1"/>
          </rPr>
          <t>PLP2</t>
        </r>
      </text>
    </comment>
    <comment ref="U20" authorId="0">
      <text>
        <r>
          <rPr>
            <b/>
            <sz val="8"/>
            <color indexed="8"/>
            <rFont val="Times New Roman"/>
            <family val="1"/>
          </rPr>
          <t xml:space="preserve">Oliver Haffenden:
</t>
        </r>
        <r>
          <rPr>
            <sz val="8"/>
            <color indexed="8"/>
            <rFont val="Times New Roman"/>
            <family val="1"/>
          </rPr>
          <t>PLP2</t>
        </r>
      </text>
    </comment>
    <comment ref="S21" authorId="0">
      <text>
        <r>
          <rPr>
            <b/>
            <sz val="8"/>
            <color indexed="8"/>
            <rFont val="Times New Roman"/>
            <family val="1"/>
          </rPr>
          <t xml:space="preserve">Oliver Haffenden:
</t>
        </r>
        <r>
          <rPr>
            <sz val="8"/>
            <color indexed="8"/>
            <rFont val="Times New Roman"/>
            <family val="1"/>
          </rPr>
          <t>PLPs 4-7 all have only one chapter with run length of 1</t>
        </r>
      </text>
    </comment>
    <comment ref="T21" authorId="0">
      <text>
        <r>
          <rPr>
            <b/>
            <sz val="8"/>
            <color indexed="8"/>
            <rFont val="Times New Roman"/>
            <family val="1"/>
          </rPr>
          <t xml:space="preserve">Oliver Haffenden:
</t>
        </r>
        <r>
          <rPr>
            <sz val="8"/>
            <color indexed="8"/>
            <rFont val="Times New Roman"/>
            <family val="1"/>
          </rPr>
          <t>PLPs 4-7 all have only one chapter with run length of 1</t>
        </r>
      </text>
    </comment>
    <comment ref="U21" authorId="0">
      <text>
        <r>
          <rPr>
            <b/>
            <sz val="8"/>
            <color indexed="8"/>
            <rFont val="Times New Roman"/>
            <family val="1"/>
          </rPr>
          <t xml:space="preserve">Oliver Haffenden:
</t>
        </r>
        <r>
          <rPr>
            <sz val="8"/>
            <color indexed="8"/>
            <rFont val="Times New Roman"/>
            <family val="1"/>
          </rPr>
          <t>PLPs 4-7 all have only one chapter with run length of 1</t>
        </r>
      </text>
    </comment>
    <comment ref="S23" authorId="0">
      <text>
        <r>
          <rPr>
            <b/>
            <sz val="8"/>
            <color indexed="8"/>
            <rFont val="Times New Roman"/>
            <family val="1"/>
          </rPr>
          <t xml:space="preserve">Oliver Haffenden:
</t>
        </r>
        <r>
          <rPr>
            <sz val="8"/>
            <color indexed="8"/>
            <rFont val="Times New Roman"/>
            <family val="1"/>
          </rPr>
          <t>Ideally a whole superframe would be generated but the chapter definitions currently cover 8 frames</t>
        </r>
      </text>
    </comment>
    <comment ref="T23" authorId="0">
      <text>
        <r>
          <rPr>
            <b/>
            <sz val="8"/>
            <color indexed="8"/>
            <rFont val="Times New Roman"/>
            <family val="1"/>
          </rPr>
          <t xml:space="preserve">Oliver Haffenden:
</t>
        </r>
        <r>
          <rPr>
            <sz val="8"/>
            <color indexed="8"/>
            <rFont val="Times New Roman"/>
            <family val="1"/>
          </rPr>
          <t>Ideally a whole superframe would be generated but the chapter definitions currently cover 8 frames</t>
        </r>
      </text>
    </comment>
    <comment ref="U23" authorId="0">
      <text>
        <r>
          <rPr>
            <b/>
            <sz val="8"/>
            <color indexed="8"/>
            <rFont val="Times New Roman"/>
            <family val="1"/>
          </rPr>
          <t xml:space="preserve">Oliver Haffenden:
</t>
        </r>
        <r>
          <rPr>
            <sz val="8"/>
            <color indexed="8"/>
            <rFont val="Times New Roman"/>
            <family val="1"/>
          </rPr>
          <t>Ideally a whole superframe would be generated but the chapter definitions currently cover 8 frames</t>
        </r>
      </text>
    </comment>
    <comment ref="V18" authorId="0">
      <text>
        <r>
          <rPr>
            <b/>
            <sz val="8"/>
            <color indexed="8"/>
            <rFont val="Nimbus Roman No9 L"/>
            <family val="1"/>
          </rPr>
          <t xml:space="preserve">Oliver Haffenden:
</t>
        </r>
        <r>
          <rPr>
            <sz val="8"/>
            <color indexed="8"/>
            <rFont val="Nimbus Roman No9 L"/>
            <family val="1"/>
          </rPr>
          <t>PLP0</t>
        </r>
      </text>
    </comment>
    <comment ref="V19" authorId="0">
      <text>
        <r>
          <rPr>
            <b/>
            <sz val="8"/>
            <color indexed="8"/>
            <rFont val="Nimbus Roman No9 L"/>
            <family val="1"/>
          </rPr>
          <t xml:space="preserve">Oliver Haffenden:
</t>
        </r>
        <r>
          <rPr>
            <sz val="8"/>
            <color indexed="8"/>
            <rFont val="Nimbus Roman No9 L"/>
            <family val="1"/>
          </rPr>
          <t>PLP 1</t>
        </r>
      </text>
    </comment>
    <comment ref="V20" authorId="0">
      <text>
        <r>
          <rPr>
            <b/>
            <sz val="8"/>
            <color indexed="8"/>
            <rFont val="Nimbus Roman No9 L"/>
            <family val="1"/>
          </rPr>
          <t xml:space="preserve">Oliver Haffenden:
</t>
        </r>
        <r>
          <rPr>
            <sz val="8"/>
            <color indexed="8"/>
            <rFont val="Nimbus Roman No9 L"/>
            <family val="1"/>
          </rPr>
          <t>PLP2</t>
        </r>
      </text>
    </comment>
    <comment ref="V21" authorId="0">
      <text>
        <r>
          <rPr>
            <b/>
            <sz val="8"/>
            <color indexed="8"/>
            <rFont val="Nimbus Roman No9 L"/>
            <family val="1"/>
          </rPr>
          <t xml:space="preserve">Oliver Haffenden:
</t>
        </r>
        <r>
          <rPr>
            <sz val="8"/>
            <color indexed="8"/>
            <rFont val="Nimbus Roman No9 L"/>
            <family val="1"/>
          </rPr>
          <t>PLPs 4-7 all have only one chapter with run length of 1</t>
        </r>
      </text>
    </comment>
    <comment ref="V23" authorId="0">
      <text>
        <r>
          <rPr>
            <b/>
            <sz val="8"/>
            <color indexed="8"/>
            <rFont val="Nimbus Roman No9 L"/>
            <family val="1"/>
          </rPr>
          <t xml:space="preserve">Oliver Haffenden:
</t>
        </r>
        <r>
          <rPr>
            <sz val="8"/>
            <color indexed="8"/>
            <rFont val="Nimbus Roman No9 L"/>
            <family val="1"/>
          </rPr>
          <t>Ideally a whole superframe would be generated but the chapter definitions currently cover 8 frames</t>
        </r>
      </text>
    </comment>
    <comment ref="W18" authorId="0">
      <text>
        <r>
          <rPr>
            <b/>
            <sz val="8"/>
            <color indexed="8"/>
            <rFont val="Nimbus Roman No9 L"/>
            <family val="1"/>
          </rPr>
          <t xml:space="preserve">Oliver Haffenden:
</t>
        </r>
        <r>
          <rPr>
            <sz val="8"/>
            <color indexed="8"/>
            <rFont val="Nimbus Roman No9 L"/>
            <family val="1"/>
          </rPr>
          <t>PLP0</t>
        </r>
      </text>
    </comment>
    <comment ref="W19" authorId="0">
      <text>
        <r>
          <rPr>
            <b/>
            <sz val="8"/>
            <color indexed="8"/>
            <rFont val="Nimbus Roman No9 L"/>
            <family val="1"/>
          </rPr>
          <t xml:space="preserve">Oliver Haffenden:
</t>
        </r>
        <r>
          <rPr>
            <sz val="8"/>
            <color indexed="8"/>
            <rFont val="Nimbus Roman No9 L"/>
            <family val="1"/>
          </rPr>
          <t>PLP 1</t>
        </r>
      </text>
    </comment>
    <comment ref="W20" authorId="0">
      <text>
        <r>
          <rPr>
            <b/>
            <sz val="8"/>
            <color indexed="8"/>
            <rFont val="Nimbus Roman No9 L"/>
            <family val="1"/>
          </rPr>
          <t xml:space="preserve">Oliver Haffenden:
</t>
        </r>
        <r>
          <rPr>
            <sz val="8"/>
            <color indexed="8"/>
            <rFont val="Nimbus Roman No9 L"/>
            <family val="1"/>
          </rPr>
          <t>PLP2</t>
        </r>
      </text>
    </comment>
    <comment ref="W21" authorId="0">
      <text>
        <r>
          <rPr>
            <b/>
            <sz val="8"/>
            <color indexed="8"/>
            <rFont val="Nimbus Roman No9 L"/>
            <family val="1"/>
          </rPr>
          <t xml:space="preserve">Oliver Haffenden:
</t>
        </r>
        <r>
          <rPr>
            <sz val="8"/>
            <color indexed="8"/>
            <rFont val="Nimbus Roman No9 L"/>
            <family val="1"/>
          </rPr>
          <t>PLPs 4-7 all have only one chapter with run length of 1</t>
        </r>
      </text>
    </comment>
    <comment ref="W23" authorId="0">
      <text>
        <r>
          <rPr>
            <b/>
            <sz val="8"/>
            <color indexed="8"/>
            <rFont val="Nimbus Roman No9 L"/>
            <family val="1"/>
          </rPr>
          <t xml:space="preserve">Oliver Haffenden:
</t>
        </r>
        <r>
          <rPr>
            <sz val="8"/>
            <color indexed="8"/>
            <rFont val="Nimbus Roman No9 L"/>
            <family val="1"/>
          </rPr>
          <t>Ideally a whole superframe would be generated but the chapter definitions currently cover 8 frames</t>
        </r>
      </text>
    </comment>
  </commentList>
</comments>
</file>

<file path=xl/sharedStrings.xml><?xml version="1.0" encoding="utf-8"?>
<sst xmlns="http://schemas.openxmlformats.org/spreadsheetml/2006/main" count="2269" uniqueCount="367">
  <si>
    <t>Date, Author (Company)</t>
  </si>
  <si>
    <t xml:space="preserve">last update : </t>
  </si>
  <si>
    <t>04/12/09,Chris Nokes (BBC)</t>
  </si>
  <si>
    <t>Parameter</t>
  </si>
  <si>
    <t>Explanation</t>
  </si>
  <si>
    <t>Number</t>
  </si>
  <si>
    <t>Mnemonic</t>
  </si>
  <si>
    <t>CR35</t>
  </si>
  <si>
    <t>CR23</t>
  </si>
  <si>
    <t>8KFFT</t>
  </si>
  <si>
    <t>16KFFT</t>
  </si>
  <si>
    <t>4KFFT</t>
  </si>
  <si>
    <t>2KFFT</t>
  </si>
  <si>
    <t>1KFFT</t>
  </si>
  <si>
    <t>64QAM45</t>
  </si>
  <si>
    <t>64QAM56</t>
  </si>
  <si>
    <t>64QAM34</t>
  </si>
  <si>
    <t>256QAM34</t>
  </si>
  <si>
    <t>PAPRTR</t>
  </si>
  <si>
    <t>MISO</t>
  </si>
  <si>
    <t>NOROT</t>
  </si>
  <si>
    <t>FEF</t>
  </si>
  <si>
    <t>DTG016</t>
  </si>
  <si>
    <t>DTG052</t>
  </si>
  <si>
    <t>DTG091</t>
  </si>
  <si>
    <t>DTG167</t>
  </si>
  <si>
    <t>DTG168</t>
  </si>
  <si>
    <t>V121</t>
  </si>
  <si>
    <t>TXSIGFEF</t>
  </si>
  <si>
    <t>TXSIGAUX</t>
  </si>
  <si>
    <t>VV Reference</t>
  </si>
  <si>
    <t>Note: Figures in red indicate differences from BBC35 parameters. Blank spaces indicate the use BBC35 parameters.</t>
  </si>
  <si>
    <t>BBC modulator parameters for code rate 3/5 (OFCOM mode 4)</t>
  </si>
  <si>
    <t>BBC modulator parameters for code rate 2/3 (OFCOM mode 7)</t>
  </si>
  <si>
    <t>Test different FFTSIZE, GI, PP. Time Interleaver Type 1</t>
  </si>
  <si>
    <t>8KFFT, PP8</t>
  </si>
  <si>
    <t>Test different FFTSIZE, GI, PP. Time Interleaver type 2</t>
  </si>
  <si>
    <t>18KFFT, PP8, Extended Bandwith</t>
  </si>
  <si>
    <t>PP6</t>
  </si>
  <si>
    <t>OFCOM mode 2</t>
  </si>
  <si>
    <t>OFCOM mode 3</t>
  </si>
  <si>
    <t>OFCOM Mode1</t>
  </si>
  <si>
    <t>OFCOM mode 5</t>
  </si>
  <si>
    <t>OFCOM Mode 6</t>
  </si>
  <si>
    <t>Test tone reservations</t>
  </si>
  <si>
    <t>Use MISO</t>
  </si>
  <si>
    <t>No rotated constellations</t>
  </si>
  <si>
    <t>No time interleaving</t>
  </si>
  <si>
    <t>Normal mode</t>
  </si>
  <si>
    <t>7MHz</t>
  </si>
  <si>
    <t>FEF 60ms</t>
  </si>
  <si>
    <t>FEF 100ms</t>
  </si>
  <si>
    <t>As VV037, but V1.2.1. spec</t>
  </si>
  <si>
    <t>Same as VV038 but with TXSIG at the end of the FEF part</t>
  </si>
  <si>
    <t>Same as VV001 but with TxSig in auxiliary stream</t>
  </si>
  <si>
    <t>Overall</t>
  </si>
  <si>
    <t>Length</t>
  </si>
  <si>
    <t>V&amp;V minimum of one T2 frame</t>
  </si>
  <si>
    <t>2 T2 Superframes</t>
  </si>
  <si>
    <t>PLP</t>
  </si>
  <si>
    <t>Single</t>
  </si>
  <si>
    <t>FFTSIZE</t>
  </si>
  <si>
    <t>32K</t>
  </si>
  <si>
    <t>8K</t>
  </si>
  <si>
    <t>16K</t>
  </si>
  <si>
    <t>4K</t>
  </si>
  <si>
    <t>2K</t>
  </si>
  <si>
    <t>1K</t>
  </si>
  <si>
    <t>GI</t>
  </si>
  <si>
    <t>1/128</t>
  </si>
  <si>
    <t>19/256</t>
  </si>
  <si>
    <t>1/16</t>
  </si>
  <si>
    <t>1/4</t>
  </si>
  <si>
    <t>19/128</t>
  </si>
  <si>
    <t>1/32</t>
  </si>
  <si>
    <t>1/8</t>
  </si>
  <si>
    <t>Data Symbols</t>
  </si>
  <si>
    <t>Including frame closing symbol (if present)</t>
  </si>
  <si>
    <t>SISO/MISO</t>
  </si>
  <si>
    <t>SISO</t>
  </si>
  <si>
    <t>PAPR</t>
  </si>
  <si>
    <t>None</t>
  </si>
  <si>
    <t>TR</t>
  </si>
  <si>
    <t>P2-TR only</t>
  </si>
  <si>
    <t>Null packet deletion</t>
  </si>
  <si>
    <t>Frames per superframe</t>
  </si>
  <si>
    <t>Bandwidth</t>
  </si>
  <si>
    <t>8MHz</t>
  </si>
  <si>
    <t>Extended Carrier Mode</t>
  </si>
  <si>
    <t>Yes</t>
  </si>
  <si>
    <t>No</t>
  </si>
  <si>
    <t>Pilot Pattern</t>
  </si>
  <si>
    <t>PP7</t>
  </si>
  <si>
    <t>PP5</t>
  </si>
  <si>
    <t>PP8</t>
  </si>
  <si>
    <t>PP1</t>
  </si>
  <si>
    <t>PP2</t>
  </si>
  <si>
    <t>PP3</t>
  </si>
  <si>
    <t>PP4</t>
  </si>
  <si>
    <t>L1 Modulation</t>
  </si>
  <si>
    <t>64QAM</t>
  </si>
  <si>
    <t>16QAM</t>
  </si>
  <si>
    <t>QPSK</t>
  </si>
  <si>
    <t>BPSK</t>
  </si>
  <si>
    <t>Sub Slices per Frame</t>
  </si>
  <si>
    <t>Not required in Single PLP</t>
  </si>
  <si>
    <t>FEF Type</t>
  </si>
  <si>
    <t>FEF Length</t>
  </si>
  <si>
    <t>FEF Interval</t>
  </si>
  <si>
    <t>FEF P1: S1 Value</t>
  </si>
  <si>
    <t>FEF P1: S2 Value</t>
  </si>
  <si>
    <t>FEF contents</t>
  </si>
  <si>
    <t>Waveform in FEF part: NULL, PRBS or TxSig</t>
  </si>
  <si>
    <t>NULL</t>
  </si>
  <si>
    <t>PRBS</t>
  </si>
  <si>
    <t>PRBS+TxSig</t>
  </si>
  <si>
    <t>TxSig FEF ID1</t>
  </si>
  <si>
    <t>Range: 0...7</t>
  </si>
  <si>
    <t>TxSig FEF ID2</t>
  </si>
  <si>
    <t>L1 Repetition</t>
  </si>
  <si>
    <t>Repetition of the dynamic signalling</t>
  </si>
  <si>
    <t>Number of PLPs</t>
  </si>
  <si>
    <t>Number of RFs</t>
  </si>
  <si>
    <t>Number of AUXs</t>
  </si>
  <si>
    <t>TxSig AUX P</t>
  </si>
  <si>
    <t>TxSig AUX Q</t>
  </si>
  <si>
    <t>TxSig AUX R</t>
  </si>
  <si>
    <t>TxSig AUX ID</t>
  </si>
  <si>
    <t>Spec version</t>
  </si>
  <si>
    <t>1.1.1</t>
  </si>
  <si>
    <t>1.2.1</t>
  </si>
  <si>
    <t>Vclip</t>
  </si>
  <si>
    <t>for TR</t>
  </si>
  <si>
    <t>Number of PAPR-TR iterations</t>
  </si>
  <si>
    <t>Vclip (ACE)</t>
  </si>
  <si>
    <t>L1_ACE_MAX</t>
  </si>
  <si>
    <t>PLP 0</t>
  </si>
  <si>
    <t>PLP_ID</t>
  </si>
  <si>
    <t>Type</t>
  </si>
  <si>
    <t>Modulation</t>
  </si>
  <si>
    <t>256QAM</t>
  </si>
  <si>
    <t>Rate</t>
  </si>
  <si>
    <t>3/5</t>
  </si>
  <si>
    <t>2/3</t>
  </si>
  <si>
    <t>3/4</t>
  </si>
  <si>
    <t>5/6</t>
  </si>
  <si>
    <t>4/5</t>
  </si>
  <si>
    <t>FEC Type</t>
  </si>
  <si>
    <t>Rotated QAM</t>
  </si>
  <si>
    <t>FEC blocks per interleaving frame</t>
  </si>
  <si>
    <t>Comma-separated list gives the number of blocks in each Interleaving Frame</t>
  </si>
  <si>
    <t>Max FEC blocks per interleaving frame</t>
  </si>
  <si>
    <t>Value for configurable signalling. May exceed the max value used</t>
  </si>
  <si>
    <t>TI blocks per frame (N_TI)</t>
  </si>
  <si>
    <t>derived parameter</t>
  </si>
  <si>
    <t>T2 frames per Interleaving Frame (P_I)</t>
  </si>
  <si>
    <t>Frame Interval  (I_JUMP)</t>
  </si>
  <si>
    <t>Type of time-interleaving</t>
  </si>
  <si>
    <t>Time Interleaving Length</t>
  </si>
  <si>
    <t>Input stage</t>
  </si>
  <si>
    <t>Mode</t>
  </si>
  <si>
    <t>HEM</t>
  </si>
  <si>
    <t>NORMAL</t>
  </si>
  <si>
    <t>NM</t>
  </si>
  <si>
    <t>ISSY</t>
  </si>
  <si>
    <t>Yes(long)</t>
  </si>
  <si>
    <t>BUFS</t>
  </si>
  <si>
    <t>Design delay (samples)</t>
  </si>
  <si>
    <t>Not required in Single PLP (I.G. 7.7.3.1)</t>
  </si>
  <si>
    <t>In Band Signalling</t>
  </si>
  <si>
    <t>Type B</t>
  </si>
  <si>
    <t>Number of other PLPs in-band signalling</t>
  </si>
  <si>
    <t>Derived Parameters</t>
  </si>
  <si>
    <t>P2 Symbols</t>
  </si>
  <si>
    <t>Frame Closing Symbol</t>
  </si>
  <si>
    <t>FEC blocks in each T2 frame</t>
  </si>
  <si>
    <t>67 + 67 + 68 =</t>
  </si>
  <si>
    <t>Available active carriers (P2)</t>
  </si>
  <si>
    <t>Available active carriers (Normal)</t>
  </si>
  <si>
    <t>Available active carriers (FCS)</t>
  </si>
  <si>
    <t>Total Available active carriers (check)</t>
  </si>
  <si>
    <t>Max number of FEC blocks in a TI block PLP#0</t>
  </si>
  <si>
    <t>Max number of FEC blocks in a TI block PLP#1</t>
  </si>
  <si>
    <t>Max number of FEC blocks in a TI block PLP#2</t>
  </si>
  <si>
    <t>Max number of FEC blocks in a TI block PLP#3</t>
  </si>
  <si>
    <t>Num of cells per TI block PLP#0</t>
  </si>
  <si>
    <t>68 * 64800 / 8 =</t>
  </si>
  <si>
    <t>Num of cells per TI block PLP#1</t>
  </si>
  <si>
    <t>Num of cells per TI block PLP#2</t>
  </si>
  <si>
    <t>Num of cells per TI block PLP#3</t>
  </si>
  <si>
    <t>Num of cells per TI blocks of MaxData &amp; Common PLP</t>
  </si>
  <si>
    <t>Check: max 2^19+2^15 cells for a TI Block</t>
  </si>
  <si>
    <t xml:space="preserve">L1 pre </t>
  </si>
  <si>
    <t>1840 cells</t>
  </si>
  <si>
    <t xml:space="preserve">L1 post </t>
  </si>
  <si>
    <t>250 cells</t>
  </si>
  <si>
    <t xml:space="preserve">Data cells </t>
  </si>
  <si>
    <t xml:space="preserve">202 * 8100 = </t>
  </si>
  <si>
    <t xml:space="preserve">Dummy cells </t>
  </si>
  <si>
    <t xml:space="preserve">(= 1639268 – 1840 – 250 – 1636200) </t>
  </si>
  <si>
    <t xml:space="preserve">Elementary period T </t>
  </si>
  <si>
    <t>7/64 µs</t>
  </si>
  <si>
    <t>L1 Post Configurable</t>
  </si>
  <si>
    <t>L1 Post Dynamic</t>
  </si>
  <si>
    <t>L1 Repetision</t>
  </si>
  <si>
    <t>Total bits of L1 Post</t>
  </si>
  <si>
    <t>Npost_FEC_Block</t>
  </si>
  <si>
    <t>K_L1_PADDING</t>
  </si>
  <si>
    <t>K_post</t>
  </si>
  <si>
    <t>K_sig</t>
  </si>
  <si>
    <t>Npunc_temp</t>
  </si>
  <si>
    <t>Npost_temp</t>
  </si>
  <si>
    <t>Npost</t>
  </si>
  <si>
    <t>Npunc</t>
  </si>
  <si>
    <t>N_MOD_per_Block</t>
  </si>
  <si>
    <t>MPLP1</t>
  </si>
  <si>
    <t>RATE56</t>
  </si>
  <si>
    <t>2GRPS</t>
  </si>
  <si>
    <t>PI2</t>
  </si>
  <si>
    <t>5MHZ</t>
  </si>
  <si>
    <t>RES</t>
  </si>
  <si>
    <t>EXT</t>
  </si>
  <si>
    <t>ALG-TST</t>
  </si>
  <si>
    <t>BIASCELLS</t>
  </si>
  <si>
    <t>L1-ACE</t>
  </si>
  <si>
    <t>L1-ACE2</t>
  </si>
  <si>
    <t>L1REP</t>
  </si>
  <si>
    <t>Note: Figures in red indicate differences from VV400 parameters.</t>
  </si>
  <si>
    <t>Basic MPLP stream proposal (4 services)</t>
  </si>
  <si>
    <t>Max bit rate variant</t>
  </si>
  <si>
    <t>Min bit rate variant</t>
  </si>
  <si>
    <t>Complex case with 2 groups of PLPs, Ijump=4 and FEFs</t>
  </si>
  <si>
    <t>Similar to basic MPLP stream but with Pi=2 for common PLP</t>
  </si>
  <si>
    <t>Min bit rate variant at 5 MHz</t>
  </si>
  <si>
    <t>A special to test the bias bit-setting algorithm</t>
  </si>
  <si>
    <t>Input stream definition</t>
  </si>
  <si>
    <t>Input stream generation model</t>
  </si>
  <si>
    <t>Dynamic multiple PLP</t>
  </si>
  <si>
    <t>Input TS rate</t>
  </si>
  <si>
    <t>Mbit/s</t>
  </si>
  <si>
    <t>25.95, 1.17</t>
  </si>
  <si>
    <t>25.95, 4.8</t>
  </si>
  <si>
    <t>25.95, 0.8</t>
  </si>
  <si>
    <t>M</t>
  </si>
  <si>
    <t>Common slot interval</t>
  </si>
  <si>
    <t>L</t>
  </si>
  <si>
    <t>Number of chapters</t>
  </si>
  <si>
    <t>N_EIT</t>
  </si>
  <si>
    <t>Number of successive EIT packets</t>
  </si>
  <si>
    <t>NumReps</t>
  </si>
  <si>
    <t>Repeats of repeating unit</t>
  </si>
  <si>
    <t>35,35,35,18,18,35</t>
  </si>
  <si>
    <t>70,35,35,70,70,70</t>
  </si>
  <si>
    <t>4,2,2,2,2,9</t>
  </si>
  <si>
    <t>{216,10,44,108,54},        {146}</t>
  </si>
  <si>
    <t>43,21,22,43,130</t>
  </si>
  <si>
    <t>17,9,8,17,35</t>
  </si>
  <si>
    <t>{216,10,44,108,54},        {20}</t>
  </si>
  <si>
    <t>RunLength(TS0)</t>
  </si>
  <si>
    <t>Run length for each TS</t>
  </si>
  <si>
    <t>9,44,0,10,12,16</t>
  </si>
  <si>
    <t>26,0,26,26,26,26</t>
  </si>
  <si>
    <t>62,29,62,62,29,29</t>
  </si>
  <si>
    <t>25,0,25,25,25</t>
  </si>
  <si>
    <t>36,0,36,36,10</t>
  </si>
  <si>
    <t>14,8,14,8,11</t>
  </si>
  <si>
    <t>RunLength(TS1)</t>
  </si>
  <si>
    <t>in each repeating unit</t>
  </si>
  <si>
    <t>16,1,22,0,44,16</t>
  </si>
  <si>
    <t>29,62,29,29,62,62</t>
  </si>
  <si>
    <t>5,25,0,10,0</t>
  </si>
  <si>
    <t>5,36,0,10,5</t>
  </si>
  <si>
    <t>8,14,9,14,11</t>
  </si>
  <si>
    <t>RunLength(TS2)</t>
  </si>
  <si>
    <t>in a chapter</t>
  </si>
  <si>
    <t>23,6,25,44,0,16</t>
  </si>
  <si>
    <t>5,10,10,0,10</t>
  </si>
  <si>
    <t>10,10,0,9,4</t>
  </si>
  <si>
    <t>RunLength(TS3)</t>
  </si>
  <si>
    <t>15,12,16,9,7,15</t>
  </si>
  <si>
    <t>4,9,19,0,36</t>
  </si>
  <si>
    <t>4 frames</t>
  </si>
  <si>
    <t>7 frames</t>
  </si>
  <si>
    <t>Multiple</t>
  </si>
  <si>
    <t>P2-TR &amp; L1-ACE only</t>
  </si>
  <si>
    <t>5MHz</t>
  </si>
  <si>
    <t>in samples</t>
  </si>
  <si>
    <t>Null</t>
  </si>
  <si>
    <t>AUX_CONFIG_RFU</t>
  </si>
  <si>
    <t>AUX_STREAM_TYPE</t>
  </si>
  <si>
    <t>AUX_PRIVATE_CONF</t>
  </si>
  <si>
    <t>0xFFFFFFF</t>
  </si>
  <si>
    <t>AUX_PRIVATE_DYN</t>
  </si>
  <si>
    <t>0xFFFFFFFFFFFF</t>
  </si>
  <si>
    <t>infinity</t>
  </si>
  <si>
    <t>L1 Extension Present?</t>
  </si>
  <si>
    <t>L1 Extension Block Type</t>
  </si>
  <si>
    <t>L1 Extension Data Length</t>
  </si>
  <si>
    <t>L1 Bias balancing cells present?</t>
  </si>
  <si>
    <t>Number of Active L1 Bias balancing cells (per P2)</t>
  </si>
  <si>
    <t>PLP_GROUP_ID</t>
  </si>
  <si>
    <t>dynamic</t>
  </si>
  <si>
    <t>First frame index</t>
  </si>
  <si>
    <t>Type A</t>
  </si>
  <si>
    <t>Types A and B</t>
  </si>
  <si>
    <t>Number  of NULL packets inserted each time (p)</t>
  </si>
  <si>
    <t>Frequency of NULL packets insertion in packets (q)</t>
  </si>
  <si>
    <t>PLP 1</t>
  </si>
  <si>
    <t>PLP 2</t>
  </si>
  <si>
    <t>PLP 3</t>
  </si>
  <si>
    <t>PLP 4</t>
  </si>
  <si>
    <t>4..85</t>
  </si>
  <si>
    <t>4..17</t>
  </si>
  <si>
    <t>PLP 5</t>
  </si>
  <si>
    <t>PLP 6</t>
  </si>
  <si>
    <t>PLP 7</t>
  </si>
  <si>
    <t>PLP 8</t>
  </si>
  <si>
    <t>SIMP-2GRPS</t>
  </si>
  <si>
    <t>NO-FEF</t>
  </si>
  <si>
    <t>IJUMP1</t>
  </si>
  <si>
    <t>Like VV403, no FEF, and Ijump=1</t>
  </si>
  <si>
    <t>Like VV403, but no FEF</t>
  </si>
  <si>
    <t>Like VV403, but Ijump=1</t>
  </si>
  <si>
    <t>Input one big TS file</t>
  </si>
  <si>
    <t>PLP 9</t>
  </si>
  <si>
    <t>(PLP 5..86)</t>
  </si>
  <si>
    <t>(PLP 5..18)</t>
  </si>
  <si>
    <t>16(PLP1-3) ,5 (PLP5-8)</t>
  </si>
  <si>
    <t>5(PLP1-3), 1(PLP 5-8)</t>
  </si>
  <si>
    <t>16(PLP1-3),
83 (PLP5-86)</t>
  </si>
  <si>
    <t>5(PLP1-3),
1(PLP 5-86)</t>
  </si>
  <si>
    <t>16(PLP1-3),
15 (PLP5-18)</t>
  </si>
  <si>
    <t>5(PLP1-3),
1(PLP 5-18)</t>
  </si>
  <si>
    <t>Like VV453, but 16K, testing effect of using L1 reserved bits for bias balancing</t>
  </si>
  <si>
    <t>Like VV456, but using extension field as well</t>
  </si>
  <si>
    <t>Like VV453, but using bias balancing cells as well</t>
  </si>
  <si>
    <t>Uses the "video" from VV453, but adds many low-rate PLPs to test L1-ACE</t>
  </si>
  <si>
    <t>Similar to VV460, but some changes to test L1-ACE and bias balancing cells together</t>
  </si>
  <si>
    <t>Same as VV450 but with L1-repetition and in-band type B</t>
  </si>
  <si>
    <t>2 static PLPs. One for HD, one for several SD programs</t>
  </si>
  <si>
    <t>Static M-PLP</t>
  </si>
  <si>
    <t>19/128</t>
  </si>
  <si>
    <t>SISO</t>
  </si>
  <si>
    <t>No</t>
  </si>
  <si>
    <t>PP3</t>
  </si>
  <si>
    <t>16QAM</t>
  </si>
  <si>
    <t>3/5</t>
  </si>
  <si>
    <t>MBSTATIC</t>
  </si>
  <si>
    <t>MPLP-MISO</t>
  </si>
  <si>
    <t>16(PLP1-3)</t>
  </si>
  <si>
    <t>5(PLP1-3)</t>
  </si>
  <si>
    <t>216,10,44,108,54</t>
  </si>
  <si>
    <t>Videos from VV403 but frame structure more like VV400 and modified to allow MISO to be added</t>
  </si>
  <si>
    <t>Videos from VV403 but frame structure from VV400 to allow NM to be tested</t>
  </si>
  <si>
    <t>(PLP 19)</t>
  </si>
  <si>
    <t>1,26,0,1,6,6</t>
  </si>
  <si>
    <t>14,12,7,2,6,6</t>
  </si>
  <si>
    <t>2,5,10,14,5,5</t>
  </si>
  <si>
    <t>Max Cells Per T2 Frame</t>
  </si>
  <si>
    <t>Common PLPs</t>
  </si>
  <si>
    <t>Type 1 PLPs</t>
  </si>
  <si>
    <t>Type 2 PLPs</t>
  </si>
  <si>
    <t>Pseudo Fixed Frame Structure</t>
  </si>
  <si>
    <t>Use Max Cells Per T2 Frame for scheduling</t>
  </si>
  <si>
    <t>(PLP 87)</t>
  </si>
  <si>
    <t>6 frames</t>
  </si>
  <si>
    <t>20/01/11, Chris Nokes (BBC)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</si>
</sst>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00"/>
    <numFmt numFmtId="177" formatCode="0.0"/>
    <numFmt numFmtId="178" formatCode="#\ ???/???"/>
    <numFmt numFmtId="179" formatCode="0000"/>
    <numFmt numFmtId="180" formatCode="00"/>
    <numFmt numFmtId="181" formatCode="0_ "/>
    <numFmt numFmtId="182" formatCode="0.E+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"/>
    <numFmt numFmtId="188" formatCode="0.0000"/>
    <numFmt numFmtId="189" formatCode="0.00000"/>
    <numFmt numFmtId="190" formatCode="0.000000"/>
    <numFmt numFmtId="191" formatCode="0.0000000"/>
    <numFmt numFmtId="192" formatCode="0.00000000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</font>
    <font>
      <sz val="11"/>
      <color indexed="9"/>
      <name val="Calibri"/>
      <family val="2"/>
    </font>
    <font>
      <sz val="11"/>
      <color indexed="9"/>
      <name val="ＭＳ Ｐゴシック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ＭＳ Ｐゴシック"/>
      <family val="3"/>
    </font>
    <font>
      <b/>
      <sz val="10"/>
      <name val="Arial"/>
      <family val="2"/>
    </font>
    <font>
      <sz val="12"/>
      <name val="ＭＳ Ｐゴシック"/>
      <family val="3"/>
    </font>
    <font>
      <b/>
      <sz val="8"/>
      <color indexed="8"/>
      <name val="Nimbus Roman No9 L"/>
      <family val="1"/>
    </font>
    <font>
      <sz val="8"/>
      <color indexed="8"/>
      <name val="Nimbus Roman No9 L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23"/>
      <name val="Arial"/>
      <family val="2"/>
    </font>
    <font>
      <sz val="10"/>
      <color indexed="23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3" fillId="17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7" borderId="0" applyNumberFormat="0" applyBorder="0" applyAlignment="0" applyProtection="0"/>
    <xf numFmtId="0" fontId="3" fillId="3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9" borderId="0" applyNumberFormat="0" applyBorder="0" applyAlignment="0" applyProtection="0"/>
    <xf numFmtId="0" fontId="3" fillId="7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9" borderId="0" applyNumberFormat="0" applyBorder="0" applyAlignment="0" applyProtection="0"/>
    <xf numFmtId="0" fontId="4" fillId="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5" fillId="6" borderId="1" applyNumberFormat="0" applyAlignment="0" applyProtection="0"/>
    <xf numFmtId="0" fontId="12" fillId="28" borderId="0" applyNumberFormat="0" applyBorder="0" applyAlignment="0" applyProtection="0"/>
    <xf numFmtId="0" fontId="6" fillId="6" borderId="2" applyNumberFormat="0" applyAlignment="0" applyProtection="0"/>
    <xf numFmtId="0" fontId="6" fillId="2" borderId="2" applyNumberFormat="0" applyAlignment="0" applyProtection="0"/>
    <xf numFmtId="0" fontId="19" fillId="18" borderId="3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7" borderId="2" applyNumberFormat="0" applyAlignment="0" applyProtection="0"/>
    <xf numFmtId="0" fontId="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" fillId="3" borderId="2" applyNumberFormat="0" applyAlignment="0" applyProtection="0"/>
    <xf numFmtId="0" fontId="17" fillId="0" borderId="8" applyNumberFormat="0" applyFill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0" fontId="0" fillId="4" borderId="9" applyNumberFormat="0" applyFont="0" applyAlignment="0" applyProtection="0"/>
    <xf numFmtId="0" fontId="0" fillId="8" borderId="9" applyNumberFormat="0" applyAlignment="0" applyProtection="0"/>
    <xf numFmtId="0" fontId="5" fillId="2" borderId="1" applyNumberFormat="0" applyAlignment="0" applyProtection="0"/>
    <xf numFmtId="9" fontId="0" fillId="0" borderId="0" applyFill="0" applyBorder="0" applyAlignment="0" applyProtection="0"/>
    <xf numFmtId="0" fontId="12" fillId="31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32" borderId="3" applyNumberFormat="0" applyAlignment="0" applyProtection="0"/>
    <xf numFmtId="0" fontId="4" fillId="19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19" borderId="0" applyNumberFormat="0" applyBorder="0" applyAlignment="0" applyProtection="0"/>
    <xf numFmtId="0" fontId="4" fillId="2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13" borderId="3" applyNumberFormat="0" applyAlignment="0" applyProtection="0"/>
    <xf numFmtId="0" fontId="22" fillId="15" borderId="0" applyNumberFormat="0" applyBorder="0" applyAlignment="0" applyProtection="0"/>
    <xf numFmtId="0" fontId="0" fillId="8" borderId="9" applyNumberFormat="0" applyAlignment="0" applyProtection="0"/>
    <xf numFmtId="0" fontId="23" fillId="0" borderId="8" applyNumberFormat="0" applyFill="0" applyAlignment="0" applyProtection="0"/>
    <xf numFmtId="0" fontId="24" fillId="7" borderId="2" applyNumberFormat="0" applyAlignment="0" applyProtection="0"/>
    <xf numFmtId="0" fontId="25" fillId="6" borderId="1" applyNumberFormat="0" applyAlignment="0" applyProtection="0"/>
    <xf numFmtId="0" fontId="26" fillId="31" borderId="0" applyNumberFormat="0" applyBorder="0" applyAlignment="0" applyProtection="0"/>
    <xf numFmtId="0" fontId="27" fillId="30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6" borderId="2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36" fillId="0" borderId="0" xfId="0" applyNumberFormat="1" applyFont="1" applyFill="1" applyBorder="1" applyAlignment="1" applyProtection="1">
      <alignment horizontal="center"/>
      <protection/>
    </xf>
    <xf numFmtId="0" fontId="37" fillId="0" borderId="0" xfId="0" applyNumberFormat="1" applyFont="1" applyFill="1" applyBorder="1" applyAlignment="1" applyProtection="1">
      <alignment horizontal="center"/>
      <protection/>
    </xf>
    <xf numFmtId="176" fontId="35" fillId="0" borderId="0" xfId="0" applyNumberFormat="1" applyFont="1" applyFill="1" applyBorder="1" applyAlignment="1" applyProtection="1">
      <alignment/>
      <protection/>
    </xf>
    <xf numFmtId="176" fontId="35" fillId="0" borderId="0" xfId="0" applyNumberFormat="1" applyFont="1" applyFill="1" applyBorder="1" applyAlignment="1" applyProtection="1">
      <alignment horizontal="right"/>
      <protection/>
    </xf>
    <xf numFmtId="176" fontId="38" fillId="0" borderId="0" xfId="0" applyNumberFormat="1" applyFont="1" applyFill="1" applyBorder="1" applyAlignment="1" applyProtection="1">
      <alignment horizontal="center"/>
      <protection/>
    </xf>
    <xf numFmtId="176" fontId="0" fillId="0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right"/>
      <protection/>
    </xf>
    <xf numFmtId="0" fontId="3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wrapText="1"/>
    </xf>
    <xf numFmtId="0" fontId="39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0" fillId="8" borderId="0" xfId="0" applyNumberFormat="1" applyFont="1" applyFill="1" applyBorder="1" applyAlignment="1" applyProtection="1">
      <alignment/>
      <protection/>
    </xf>
    <xf numFmtId="0" fontId="41" fillId="8" borderId="0" xfId="0" applyNumberFormat="1" applyFont="1" applyFill="1" applyBorder="1" applyAlignment="1" applyProtection="1">
      <alignment/>
      <protection/>
    </xf>
    <xf numFmtId="0" fontId="0" fillId="8" borderId="0" xfId="0" applyNumberFormat="1" applyFont="1" applyFill="1" applyBorder="1" applyAlignment="1" applyProtection="1">
      <alignment horizontal="center"/>
      <protection/>
    </xf>
    <xf numFmtId="0" fontId="0" fillId="8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4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105" applyNumberFormat="1" applyFont="1" applyFill="1" applyBorder="1" applyAlignment="1" applyProtection="1">
      <alignment horizontal="center"/>
      <protection/>
    </xf>
    <xf numFmtId="0" fontId="0" fillId="6" borderId="0" xfId="0" applyNumberFormat="1" applyFont="1" applyFill="1" applyBorder="1" applyAlignment="1" applyProtection="1">
      <alignment horizontal="center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6" borderId="0" xfId="0" applyNumberFormat="1" applyFill="1" applyBorder="1" applyAlignment="1" applyProtection="1">
      <alignment horizontal="center"/>
      <protection/>
    </xf>
    <xf numFmtId="0" fontId="40" fillId="0" borderId="0" xfId="0" applyNumberFormat="1" applyFont="1" applyFill="1" applyBorder="1" applyAlignment="1" applyProtection="1">
      <alignment/>
      <protection/>
    </xf>
    <xf numFmtId="12" fontId="0" fillId="0" borderId="0" xfId="0" applyNumberFormat="1" applyFont="1" applyFill="1" applyBorder="1" applyAlignment="1" applyProtection="1">
      <alignment horizontal="center"/>
      <protection/>
    </xf>
    <xf numFmtId="12" fontId="0" fillId="0" borderId="0" xfId="0" applyNumberFormat="1" applyAlignment="1">
      <alignment horizontal="center"/>
    </xf>
    <xf numFmtId="0" fontId="43" fillId="0" borderId="0" xfId="0" applyNumberFormat="1" applyFont="1" applyFill="1" applyBorder="1" applyAlignment="1" applyProtection="1">
      <alignment horizontal="center"/>
      <protection/>
    </xf>
    <xf numFmtId="0" fontId="40" fillId="8" borderId="0" xfId="0" applyNumberFormat="1" applyFont="1" applyFill="1" applyBorder="1" applyAlignment="1" applyProtection="1">
      <alignment horizontal="left"/>
      <protection/>
    </xf>
    <xf numFmtId="0" fontId="41" fillId="0" borderId="0" xfId="0" applyFont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44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 horizontal="left"/>
      <protection/>
    </xf>
    <xf numFmtId="0" fontId="43" fillId="6" borderId="0" xfId="0" applyNumberFormat="1" applyFont="1" applyFill="1" applyBorder="1" applyAlignment="1" applyProtection="1">
      <alignment horizontal="center"/>
      <protection/>
    </xf>
    <xf numFmtId="49" fontId="45" fillId="0" borderId="0" xfId="0" applyNumberFormat="1" applyFont="1" applyAlignment="1">
      <alignment horizontal="center" vertical="center"/>
    </xf>
    <xf numFmtId="49" fontId="0" fillId="0" borderId="0" xfId="0" applyNumberFormat="1" applyFill="1" applyBorder="1" applyAlignment="1" applyProtection="1">
      <alignment horizontal="center"/>
      <protection/>
    </xf>
    <xf numFmtId="0" fontId="45" fillId="0" borderId="0" xfId="0" applyNumberFormat="1" applyFont="1" applyAlignment="1">
      <alignment horizontal="center" vertical="center"/>
    </xf>
    <xf numFmtId="0" fontId="46" fillId="0" borderId="0" xfId="0" applyNumberFormat="1" applyFont="1" applyFill="1" applyBorder="1" applyAlignment="1" applyProtection="1">
      <alignment horizontal="center"/>
      <protection/>
    </xf>
    <xf numFmtId="0" fontId="47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0" fillId="0" borderId="0" xfId="105" applyNumberFormat="1" applyFont="1" applyFill="1" applyBorder="1" applyAlignment="1" applyProtection="1">
      <alignment/>
      <protection/>
    </xf>
    <xf numFmtId="0" fontId="0" fillId="0" borderId="0" xfId="105">
      <alignment/>
      <protection/>
    </xf>
    <xf numFmtId="0" fontId="0" fillId="0" borderId="0" xfId="105" applyNumberFormat="1" applyFill="1" applyBorder="1" applyAlignment="1" applyProtection="1">
      <alignment/>
      <protection/>
    </xf>
    <xf numFmtId="0" fontId="0" fillId="0" borderId="0" xfId="105" applyNumberFormat="1" applyFont="1" applyFill="1" applyBorder="1" applyAlignment="1" applyProtection="1">
      <alignment horizontal="right"/>
      <protection/>
    </xf>
    <xf numFmtId="0" fontId="0" fillId="0" borderId="0" xfId="105" applyFont="1" applyBorder="1">
      <alignment/>
      <protection/>
    </xf>
    <xf numFmtId="0" fontId="35" fillId="0" borderId="0" xfId="105" applyNumberFormat="1" applyFont="1" applyFill="1" applyBorder="1" applyAlignment="1" applyProtection="1">
      <alignment/>
      <protection/>
    </xf>
    <xf numFmtId="0" fontId="36" fillId="0" borderId="0" xfId="105" applyNumberFormat="1" applyFont="1" applyFill="1" applyBorder="1" applyAlignment="1" applyProtection="1">
      <alignment horizontal="center"/>
      <protection/>
    </xf>
    <xf numFmtId="0" fontId="38" fillId="0" borderId="0" xfId="105" applyNumberFormat="1" applyFont="1" applyFill="1" applyBorder="1" applyAlignment="1" applyProtection="1">
      <alignment horizontal="center"/>
      <protection/>
    </xf>
    <xf numFmtId="0" fontId="37" fillId="0" borderId="0" xfId="105" applyNumberFormat="1" applyFont="1" applyFill="1" applyBorder="1" applyAlignment="1" applyProtection="1">
      <alignment horizontal="center"/>
      <protection/>
    </xf>
    <xf numFmtId="176" fontId="35" fillId="0" borderId="0" xfId="105" applyNumberFormat="1" applyFont="1" applyFill="1" applyBorder="1" applyAlignment="1" applyProtection="1">
      <alignment/>
      <protection/>
    </xf>
    <xf numFmtId="176" fontId="35" fillId="0" borderId="0" xfId="105" applyNumberFormat="1" applyFont="1" applyFill="1" applyBorder="1" applyAlignment="1" applyProtection="1">
      <alignment horizontal="right"/>
      <protection/>
    </xf>
    <xf numFmtId="176" fontId="38" fillId="0" borderId="0" xfId="105" applyNumberFormat="1" applyFont="1" applyFill="1" applyBorder="1" applyAlignment="1" applyProtection="1">
      <alignment horizontal="center"/>
      <protection/>
    </xf>
    <xf numFmtId="0" fontId="0" fillId="0" borderId="0" xfId="105" applyFont="1">
      <alignment/>
      <protection/>
    </xf>
    <xf numFmtId="0" fontId="35" fillId="0" borderId="0" xfId="105" applyNumberFormat="1" applyFont="1" applyFill="1" applyBorder="1" applyAlignment="1" applyProtection="1">
      <alignment horizontal="right"/>
      <protection/>
    </xf>
    <xf numFmtId="1" fontId="0" fillId="0" borderId="0" xfId="105" applyNumberFormat="1">
      <alignment/>
      <protection/>
    </xf>
    <xf numFmtId="0" fontId="0" fillId="0" borderId="0" xfId="105" applyFont="1" applyAlignment="1">
      <alignment wrapText="1"/>
      <protection/>
    </xf>
    <xf numFmtId="0" fontId="39" fillId="0" borderId="0" xfId="105" applyNumberFormat="1" applyFont="1" applyFill="1" applyBorder="1" applyAlignment="1" applyProtection="1">
      <alignment horizontal="left" wrapText="1"/>
      <protection/>
    </xf>
    <xf numFmtId="0" fontId="40" fillId="8" borderId="0" xfId="105" applyNumberFormat="1" applyFont="1" applyFill="1" applyBorder="1" applyAlignment="1" applyProtection="1">
      <alignment/>
      <protection/>
    </xf>
    <xf numFmtId="0" fontId="41" fillId="8" borderId="0" xfId="105" applyNumberFormat="1" applyFont="1" applyFill="1" applyBorder="1" applyAlignment="1" applyProtection="1">
      <alignment/>
      <protection/>
    </xf>
    <xf numFmtId="0" fontId="0" fillId="8" borderId="0" xfId="105" applyNumberFormat="1" applyFont="1" applyFill="1" applyBorder="1" applyAlignment="1" applyProtection="1">
      <alignment horizontal="center"/>
      <protection/>
    </xf>
    <xf numFmtId="0" fontId="41" fillId="0" borderId="0" xfId="105" applyNumberFormat="1" applyFont="1" applyFill="1" applyBorder="1" applyAlignment="1" applyProtection="1">
      <alignment/>
      <protection/>
    </xf>
    <xf numFmtId="0" fontId="0" fillId="0" borderId="0" xfId="105" applyNumberFormat="1" applyFont="1" applyFill="1" applyBorder="1" applyAlignment="1" applyProtection="1">
      <alignment horizontal="left" wrapText="1"/>
      <protection/>
    </xf>
    <xf numFmtId="177" fontId="0" fillId="0" borderId="0" xfId="105" applyNumberFormat="1" applyFont="1" applyFill="1" applyBorder="1" applyAlignment="1" applyProtection="1">
      <alignment horizontal="left" wrapText="1"/>
      <protection/>
    </xf>
    <xf numFmtId="0" fontId="0" fillId="0" borderId="0" xfId="105" applyNumberFormat="1" applyFont="1" applyFill="1" applyBorder="1" applyAlignment="1" applyProtection="1">
      <alignment horizontal="left"/>
      <protection/>
    </xf>
    <xf numFmtId="178" fontId="0" fillId="0" borderId="0" xfId="105" applyNumberFormat="1" applyFont="1" applyFill="1" applyBorder="1" applyAlignment="1" applyProtection="1">
      <alignment horizontal="center"/>
      <protection/>
    </xf>
    <xf numFmtId="178" fontId="0" fillId="0" borderId="0" xfId="105" applyNumberFormat="1" applyFill="1" applyBorder="1" applyAlignment="1" applyProtection="1">
      <alignment horizontal="center"/>
      <protection/>
    </xf>
    <xf numFmtId="0" fontId="0" fillId="0" borderId="0" xfId="105" applyAlignment="1">
      <alignment horizontal="center" vertical="center" wrapText="1"/>
      <protection/>
    </xf>
    <xf numFmtId="179" fontId="0" fillId="6" borderId="0" xfId="105" applyNumberFormat="1" applyFont="1" applyFill="1" applyBorder="1" applyAlignment="1" applyProtection="1">
      <alignment horizontal="center"/>
      <protection/>
    </xf>
    <xf numFmtId="179" fontId="0" fillId="0" borderId="0" xfId="105" applyNumberFormat="1" applyFont="1" applyFill="1" applyBorder="1" applyAlignment="1" applyProtection="1">
      <alignment horizontal="center"/>
      <protection/>
    </xf>
    <xf numFmtId="0" fontId="0" fillId="6" borderId="0" xfId="105" applyNumberFormat="1" applyFont="1" applyFill="1" applyBorder="1" applyAlignment="1" applyProtection="1">
      <alignment horizontal="center"/>
      <protection/>
    </xf>
    <xf numFmtId="176" fontId="0" fillId="6" borderId="0" xfId="105" applyNumberFormat="1" applyFont="1" applyFill="1" applyBorder="1" applyAlignment="1" applyProtection="1">
      <alignment horizontal="center"/>
      <protection/>
    </xf>
    <xf numFmtId="176" fontId="0" fillId="0" borderId="0" xfId="105" applyNumberFormat="1" applyFont="1" applyFill="1" applyBorder="1" applyAlignment="1" applyProtection="1">
      <alignment horizontal="center"/>
      <protection/>
    </xf>
    <xf numFmtId="0" fontId="41" fillId="0" borderId="0" xfId="105" applyNumberFormat="1" applyFont="1" applyFill="1" applyBorder="1" applyAlignment="1" applyProtection="1">
      <alignment wrapText="1"/>
      <protection/>
    </xf>
    <xf numFmtId="0" fontId="0" fillId="6" borderId="0" xfId="105" applyNumberFormat="1" applyFill="1" applyBorder="1" applyAlignment="1" applyProtection="1">
      <alignment horizontal="center"/>
      <protection/>
    </xf>
    <xf numFmtId="0" fontId="0" fillId="0" borderId="0" xfId="105" applyAlignment="1">
      <alignment horizontal="center"/>
      <protection/>
    </xf>
    <xf numFmtId="0" fontId="40" fillId="0" borderId="0" xfId="105" applyNumberFormat="1" applyFont="1" applyFill="1" applyBorder="1" applyAlignment="1" applyProtection="1">
      <alignment/>
      <protection/>
    </xf>
    <xf numFmtId="12" fontId="0" fillId="0" borderId="0" xfId="105" applyNumberFormat="1" applyFont="1" applyFill="1" applyBorder="1" applyAlignment="1" applyProtection="1">
      <alignment horizontal="center"/>
      <protection/>
    </xf>
    <xf numFmtId="12" fontId="0" fillId="0" borderId="0" xfId="105" applyNumberFormat="1" applyFill="1" applyBorder="1" applyAlignment="1" applyProtection="1">
      <alignment horizontal="center"/>
      <protection/>
    </xf>
    <xf numFmtId="0" fontId="40" fillId="8" borderId="0" xfId="105" applyNumberFormat="1" applyFont="1" applyFill="1" applyBorder="1" applyAlignment="1" applyProtection="1">
      <alignment horizontal="left"/>
      <protection/>
    </xf>
    <xf numFmtId="180" fontId="0" fillId="0" borderId="0" xfId="105" applyNumberFormat="1" applyFill="1" applyBorder="1" applyAlignment="1" applyProtection="1">
      <alignment horizontal="center"/>
      <protection/>
    </xf>
    <xf numFmtId="0" fontId="41" fillId="0" borderId="0" xfId="105" applyFont="1" applyAlignment="1">
      <alignment wrapText="1"/>
      <protection/>
    </xf>
    <xf numFmtId="0" fontId="0" fillId="0" borderId="0" xfId="105" applyFont="1" applyAlignment="1">
      <alignment horizontal="center"/>
      <protection/>
    </xf>
    <xf numFmtId="0" fontId="38" fillId="0" borderId="0" xfId="105" applyFont="1" applyAlignment="1">
      <alignment horizontal="center"/>
      <protection/>
    </xf>
    <xf numFmtId="176" fontId="52" fillId="0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177" fontId="0" fillId="0" borderId="0" xfId="0" applyNumberFormat="1" applyFont="1" applyFill="1" applyBorder="1" applyAlignment="1" applyProtection="1">
      <alignment horizontal="left" wrapText="1"/>
      <protection/>
    </xf>
    <xf numFmtId="0" fontId="53" fillId="0" borderId="0" xfId="0" applyNumberFormat="1" applyFont="1" applyFill="1" applyBorder="1" applyAlignment="1" applyProtection="1">
      <alignment horizontal="left" wrapText="1"/>
      <protection/>
    </xf>
    <xf numFmtId="0" fontId="53" fillId="0" borderId="0" xfId="0" applyFont="1" applyAlignment="1">
      <alignment/>
    </xf>
    <xf numFmtId="178" fontId="0" fillId="0" borderId="0" xfId="0" applyNumberFormat="1" applyFont="1" applyFill="1" applyBorder="1" applyAlignment="1" applyProtection="1">
      <alignment horizontal="center"/>
      <protection/>
    </xf>
    <xf numFmtId="179" fontId="0" fillId="0" borderId="0" xfId="0" applyNumberFormat="1" applyFont="1" applyFill="1" applyBorder="1" applyAlignment="1" applyProtection="1">
      <alignment horizontal="center"/>
      <protection/>
    </xf>
    <xf numFmtId="176" fontId="0" fillId="0" borderId="0" xfId="0" applyNumberFormat="1" applyFont="1" applyFill="1" applyBorder="1" applyAlignment="1" applyProtection="1">
      <alignment horizontal="center"/>
      <protection/>
    </xf>
    <xf numFmtId="12" fontId="0" fillId="0" borderId="0" xfId="0" applyNumberFormat="1" applyFill="1" applyBorder="1" applyAlignment="1" applyProtection="1">
      <alignment horizontal="center"/>
      <protection/>
    </xf>
    <xf numFmtId="180" fontId="0" fillId="0" borderId="0" xfId="0" applyNumberFormat="1" applyFill="1" applyBorder="1" applyAlignment="1" applyProtection="1">
      <alignment horizontal="center"/>
      <protection/>
    </xf>
    <xf numFmtId="0" fontId="54" fillId="0" borderId="0" xfId="105" applyNumberFormat="1" applyFont="1" applyFill="1" applyBorder="1" applyAlignment="1" applyProtection="1">
      <alignment/>
      <protection/>
    </xf>
    <xf numFmtId="0" fontId="0" fillId="0" borderId="0" xfId="105" applyAlignment="1">
      <alignment/>
      <protection/>
    </xf>
    <xf numFmtId="14" fontId="0" fillId="0" borderId="0" xfId="105" applyNumberFormat="1" applyFont="1" applyAlignment="1" quotePrefix="1">
      <alignment horizontal="center"/>
      <protection/>
    </xf>
    <xf numFmtId="2" fontId="0" fillId="0" borderId="0" xfId="105" applyNumberFormat="1" applyFont="1" applyFill="1" applyBorder="1" applyAlignment="1" applyProtection="1">
      <alignment horizontal="left" wrapText="1"/>
      <protection/>
    </xf>
  </cellXfs>
  <cellStyles count="1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20% - アクセント 1" xfId="27"/>
    <cellStyle name="20% - アクセント 2" xfId="28"/>
    <cellStyle name="20% - アクセント 3" xfId="29"/>
    <cellStyle name="20% - アクセント 4" xfId="30"/>
    <cellStyle name="20% - アクセント 5" xfId="31"/>
    <cellStyle name="20% - アクセント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zent1" xfId="39"/>
    <cellStyle name="40% - Akzent2" xfId="40"/>
    <cellStyle name="40% - Akzent3" xfId="41"/>
    <cellStyle name="40% - Akzent4" xfId="42"/>
    <cellStyle name="40% - Akzent5" xfId="43"/>
    <cellStyle name="40% - Akzent6" xfId="44"/>
    <cellStyle name="40% - アクセント 1" xfId="45"/>
    <cellStyle name="40% - アクセント 2" xfId="46"/>
    <cellStyle name="40% - アクセント 3" xfId="47"/>
    <cellStyle name="40% - アクセント 4" xfId="48"/>
    <cellStyle name="40% - アクセント 5" xfId="49"/>
    <cellStyle name="40% - アクセント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zent1" xfId="57"/>
    <cellStyle name="60% - Akzent2" xfId="58"/>
    <cellStyle name="60% - Akzent3" xfId="59"/>
    <cellStyle name="60% - Akzent4" xfId="60"/>
    <cellStyle name="60% - Akzent5" xfId="61"/>
    <cellStyle name="60% - Akzent6" xfId="62"/>
    <cellStyle name="60% - アクセント 1" xfId="63"/>
    <cellStyle name="60% - アクセント 2" xfId="64"/>
    <cellStyle name="60% - アクセント 3" xfId="65"/>
    <cellStyle name="60% - アクセント 4" xfId="66"/>
    <cellStyle name="60% - アクセント 5" xfId="67"/>
    <cellStyle name="60% - アクセント 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zent1" xfId="75"/>
    <cellStyle name="Akzent2" xfId="76"/>
    <cellStyle name="Akzent3" xfId="77"/>
    <cellStyle name="Akzent4" xfId="78"/>
    <cellStyle name="Akzent5" xfId="79"/>
    <cellStyle name="Akzent6" xfId="80"/>
    <cellStyle name="Ausgabe" xfId="81"/>
    <cellStyle name="Bad" xfId="82"/>
    <cellStyle name="Berechnung" xfId="83"/>
    <cellStyle name="Calculation" xfId="84"/>
    <cellStyle name="Check Cell" xfId="85"/>
    <cellStyle name="Comma" xfId="86"/>
    <cellStyle name="Comma [0]" xfId="87"/>
    <cellStyle name="Currency" xfId="88"/>
    <cellStyle name="Currency [0]" xfId="89"/>
    <cellStyle name="Eingabe" xfId="90"/>
    <cellStyle name="Ergebnis" xfId="91"/>
    <cellStyle name="Erklärender Text" xfId="92"/>
    <cellStyle name="Explanatory Text" xfId="93"/>
    <cellStyle name="Followed Hyperlink" xfId="94"/>
    <cellStyle name="Good" xfId="95"/>
    <cellStyle name="Gut" xfId="96"/>
    <cellStyle name="Heading 1" xfId="97"/>
    <cellStyle name="Heading 2" xfId="98"/>
    <cellStyle name="Heading 3" xfId="99"/>
    <cellStyle name="Heading 4" xfId="100"/>
    <cellStyle name="Hyperlink" xfId="101"/>
    <cellStyle name="Input" xfId="102"/>
    <cellStyle name="Linked Cell" xfId="103"/>
    <cellStyle name="Neutral" xfId="104"/>
    <cellStyle name="Normal_V&amp;V_Parameter_Sets_Dynamic_MPLP_22" xfId="105"/>
    <cellStyle name="Note" xfId="106"/>
    <cellStyle name="Notiz" xfId="107"/>
    <cellStyle name="Output" xfId="108"/>
    <cellStyle name="Percent" xfId="109"/>
    <cellStyle name="Schlecht" xfId="110"/>
    <cellStyle name="Title" xfId="111"/>
    <cellStyle name="Total" xfId="112"/>
    <cellStyle name="Überschrift" xfId="113"/>
    <cellStyle name="Überschrift 1" xfId="114"/>
    <cellStyle name="Überschrift 2" xfId="115"/>
    <cellStyle name="Überschrift 3" xfId="116"/>
    <cellStyle name="Überschrift 4" xfId="117"/>
    <cellStyle name="Verknüpfte Zelle" xfId="118"/>
    <cellStyle name="Warnender Text" xfId="119"/>
    <cellStyle name="Warning Text" xfId="120"/>
    <cellStyle name="Zelle überprüfen" xfId="121"/>
    <cellStyle name="アクセント 1" xfId="122"/>
    <cellStyle name="アクセント 2" xfId="123"/>
    <cellStyle name="アクセント 3" xfId="124"/>
    <cellStyle name="アクセント 4" xfId="125"/>
    <cellStyle name="アクセント 5" xfId="126"/>
    <cellStyle name="アクセント 6" xfId="127"/>
    <cellStyle name="タイトル" xfId="128"/>
    <cellStyle name="チェック セル" xfId="129"/>
    <cellStyle name="どちらでもない" xfId="130"/>
    <cellStyle name="メモ" xfId="131"/>
    <cellStyle name="リンク セル" xfId="132"/>
    <cellStyle name="入力" xfId="133"/>
    <cellStyle name="出力" xfId="134"/>
    <cellStyle name="悪い" xfId="135"/>
    <cellStyle name="良い" xfId="136"/>
    <cellStyle name="見出し 1" xfId="137"/>
    <cellStyle name="見出し 2" xfId="138"/>
    <cellStyle name="見出し 3" xfId="139"/>
    <cellStyle name="見出し 4" xfId="140"/>
    <cellStyle name="計算" xfId="141"/>
    <cellStyle name="説明文" xfId="142"/>
    <cellStyle name="警告文" xfId="143"/>
    <cellStyle name="集計" xfId="144"/>
  </cellStyles>
  <dxfs count="11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10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AM1" sqref="AM1"/>
      <selection pane="bottomLeft" activeCell="A25" sqref="A25"/>
      <selection pane="bottomRight" activeCell="C17" sqref="C17"/>
    </sheetView>
  </sheetViews>
  <sheetFormatPr defaultColWidth="11.57421875" defaultRowHeight="12.75"/>
  <cols>
    <col min="1" max="1" width="54.140625" style="1" customWidth="1"/>
    <col min="2" max="2" width="27.57421875" style="1" customWidth="1"/>
    <col min="3" max="3" width="20.140625" style="2" customWidth="1"/>
    <col min="4" max="4" width="0" style="2" hidden="1" customWidth="1"/>
    <col min="5" max="5" width="21.421875" style="2" customWidth="1"/>
    <col min="6" max="6" width="16.421875" style="1" customWidth="1"/>
    <col min="7" max="8" width="17.8515625" style="1" customWidth="1"/>
    <col min="9" max="9" width="17.57421875" style="1" customWidth="1"/>
    <col min="10" max="10" width="16.57421875" style="1" customWidth="1"/>
    <col min="11" max="11" width="15.7109375" style="1" customWidth="1"/>
    <col min="12" max="12" width="15.57421875" style="1" customWidth="1"/>
    <col min="13" max="13" width="15.421875" style="1" customWidth="1"/>
    <col min="14" max="17" width="21.57421875" style="1" customWidth="1"/>
    <col min="18" max="18" width="20.28125" style="1" customWidth="1"/>
    <col min="19" max="19" width="19.00390625" style="1" customWidth="1"/>
    <col min="20" max="20" width="17.140625" style="1" customWidth="1"/>
    <col min="21" max="21" width="17.421875" style="1" customWidth="1"/>
    <col min="22" max="22" width="17.00390625" style="1" customWidth="1"/>
    <col min="23" max="35" width="0" style="1" hidden="1" customWidth="1"/>
    <col min="36" max="40" width="17.00390625" style="1" customWidth="1"/>
    <col min="41" max="41" width="11.57421875" style="1" customWidth="1"/>
    <col min="42" max="42" width="20.421875" style="1" customWidth="1"/>
    <col min="43" max="43" width="20.140625" style="2" customWidth="1"/>
    <col min="44" max="16384" width="11.57421875" style="1" customWidth="1"/>
  </cols>
  <sheetData>
    <row r="1" spans="1:2" ht="12.75">
      <c r="A1" s="3"/>
      <c r="B1" s="3" t="s">
        <v>0</v>
      </c>
    </row>
    <row r="2" spans="1:2" ht="12.75">
      <c r="A2" s="4" t="s">
        <v>1</v>
      </c>
      <c r="B2" s="3" t="s">
        <v>2</v>
      </c>
    </row>
    <row r="4" spans="1:43" ht="18">
      <c r="A4" s="5" t="s">
        <v>3</v>
      </c>
      <c r="B4" s="5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AQ4" s="6"/>
    </row>
    <row r="5" spans="1:43" ht="18">
      <c r="A5" s="5"/>
      <c r="B5" s="5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G5" s="7"/>
      <c r="AH5" s="7"/>
      <c r="AQ5" s="7"/>
    </row>
    <row r="6" spans="1:43" s="11" customFormat="1" ht="18">
      <c r="A6" s="8"/>
      <c r="B6" s="9" t="s">
        <v>5</v>
      </c>
      <c r="C6" s="10">
        <v>1</v>
      </c>
      <c r="D6" s="10">
        <f aca="true" t="shared" si="0" ref="D6:AE6">C6+1</f>
        <v>2</v>
      </c>
      <c r="E6" s="10">
        <f t="shared" si="0"/>
        <v>3</v>
      </c>
      <c r="F6" s="10">
        <f t="shared" si="0"/>
        <v>4</v>
      </c>
      <c r="G6" s="10">
        <f t="shared" si="0"/>
        <v>5</v>
      </c>
      <c r="H6" s="10">
        <f t="shared" si="0"/>
        <v>6</v>
      </c>
      <c r="I6" s="10">
        <f t="shared" si="0"/>
        <v>7</v>
      </c>
      <c r="J6" s="10">
        <f t="shared" si="0"/>
        <v>8</v>
      </c>
      <c r="K6" s="10">
        <f t="shared" si="0"/>
        <v>9</v>
      </c>
      <c r="L6" s="10">
        <f t="shared" si="0"/>
        <v>10</v>
      </c>
      <c r="M6" s="10">
        <f t="shared" si="0"/>
        <v>11</v>
      </c>
      <c r="N6" s="10">
        <f t="shared" si="0"/>
        <v>12</v>
      </c>
      <c r="O6" s="10">
        <f t="shared" si="0"/>
        <v>13</v>
      </c>
      <c r="P6" s="10">
        <f t="shared" si="0"/>
        <v>14</v>
      </c>
      <c r="Q6" s="10">
        <f t="shared" si="0"/>
        <v>15</v>
      </c>
      <c r="R6" s="10">
        <f t="shared" si="0"/>
        <v>16</v>
      </c>
      <c r="S6" s="10">
        <f t="shared" si="0"/>
        <v>17</v>
      </c>
      <c r="T6" s="10">
        <f t="shared" si="0"/>
        <v>18</v>
      </c>
      <c r="U6" s="10">
        <f t="shared" si="0"/>
        <v>19</v>
      </c>
      <c r="V6" s="10">
        <f t="shared" si="0"/>
        <v>20</v>
      </c>
      <c r="W6" s="10">
        <f t="shared" si="0"/>
        <v>21</v>
      </c>
      <c r="X6" s="10">
        <f t="shared" si="0"/>
        <v>22</v>
      </c>
      <c r="Y6" s="10">
        <f t="shared" si="0"/>
        <v>23</v>
      </c>
      <c r="Z6" s="10">
        <f t="shared" si="0"/>
        <v>24</v>
      </c>
      <c r="AA6" s="10">
        <f t="shared" si="0"/>
        <v>25</v>
      </c>
      <c r="AB6" s="10">
        <f t="shared" si="0"/>
        <v>26</v>
      </c>
      <c r="AC6" s="10">
        <f t="shared" si="0"/>
        <v>27</v>
      </c>
      <c r="AD6" s="10">
        <f t="shared" si="0"/>
        <v>28</v>
      </c>
      <c r="AE6" s="10">
        <f t="shared" si="0"/>
        <v>29</v>
      </c>
      <c r="AF6" s="10">
        <v>30</v>
      </c>
      <c r="AG6" s="10">
        <f aca="true" t="shared" si="1" ref="AG6:AP6">AF6+1</f>
        <v>31</v>
      </c>
      <c r="AH6" s="10">
        <f t="shared" si="1"/>
        <v>32</v>
      </c>
      <c r="AI6" s="10">
        <f t="shared" si="1"/>
        <v>33</v>
      </c>
      <c r="AJ6" s="10">
        <f t="shared" si="1"/>
        <v>34</v>
      </c>
      <c r="AK6" s="10">
        <f t="shared" si="1"/>
        <v>35</v>
      </c>
      <c r="AL6" s="10">
        <f t="shared" si="1"/>
        <v>36</v>
      </c>
      <c r="AM6" s="10">
        <f t="shared" si="1"/>
        <v>37</v>
      </c>
      <c r="AN6" s="10">
        <f t="shared" si="1"/>
        <v>38</v>
      </c>
      <c r="AO6" s="10">
        <f t="shared" si="1"/>
        <v>39</v>
      </c>
      <c r="AP6" s="10">
        <f t="shared" si="1"/>
        <v>40</v>
      </c>
      <c r="AQ6" s="10">
        <v>41</v>
      </c>
    </row>
    <row r="7" spans="1:43" ht="18">
      <c r="A7" s="5"/>
      <c r="B7" s="12" t="s">
        <v>6</v>
      </c>
      <c r="C7" s="13" t="s">
        <v>7</v>
      </c>
      <c r="D7" s="13"/>
      <c r="E7" s="13" t="s">
        <v>8</v>
      </c>
      <c r="F7" s="13" t="s">
        <v>9</v>
      </c>
      <c r="G7" s="13" t="s">
        <v>9</v>
      </c>
      <c r="H7" s="13" t="s">
        <v>10</v>
      </c>
      <c r="I7" s="13" t="s">
        <v>10</v>
      </c>
      <c r="J7" s="13" t="s">
        <v>10</v>
      </c>
      <c r="K7" s="13" t="s">
        <v>11</v>
      </c>
      <c r="L7" s="13" t="s">
        <v>12</v>
      </c>
      <c r="M7" s="13" t="s">
        <v>13</v>
      </c>
      <c r="N7" s="13" t="s">
        <v>14</v>
      </c>
      <c r="O7" s="13" t="s">
        <v>15</v>
      </c>
      <c r="P7" s="13" t="s">
        <v>16</v>
      </c>
      <c r="Q7" s="13" t="s">
        <v>9</v>
      </c>
      <c r="R7" s="13" t="s">
        <v>17</v>
      </c>
      <c r="S7" s="13" t="s">
        <v>18</v>
      </c>
      <c r="T7" s="13" t="s">
        <v>19</v>
      </c>
      <c r="U7" s="13" t="s">
        <v>20</v>
      </c>
      <c r="V7" s="13" t="s">
        <v>21</v>
      </c>
      <c r="W7" s="13"/>
      <c r="X7" s="13"/>
      <c r="Y7" s="13"/>
      <c r="Z7" s="13"/>
      <c r="AA7" s="13"/>
      <c r="AB7" s="13"/>
      <c r="AC7" s="13"/>
      <c r="AF7" s="13"/>
      <c r="AG7" s="13"/>
      <c r="AH7" s="13"/>
      <c r="AI7" s="13"/>
      <c r="AJ7" s="13" t="s">
        <v>22</v>
      </c>
      <c r="AK7" s="13" t="s">
        <v>23</v>
      </c>
      <c r="AL7" s="13" t="s">
        <v>24</v>
      </c>
      <c r="AM7" s="13" t="s">
        <v>25</v>
      </c>
      <c r="AN7" s="13" t="s">
        <v>26</v>
      </c>
      <c r="AO7" s="13" t="s">
        <v>27</v>
      </c>
      <c r="AP7" s="13" t="s">
        <v>28</v>
      </c>
      <c r="AQ7" s="13" t="s">
        <v>29</v>
      </c>
    </row>
    <row r="8" spans="1:43" ht="18">
      <c r="A8" s="5"/>
      <c r="B8" s="12" t="s">
        <v>30</v>
      </c>
      <c r="C8" s="6" t="str">
        <f>"VV"&amp;TEXT(C6,"000")&amp;"-"&amp;C7</f>
        <v>VV001-CR35</v>
      </c>
      <c r="D8" s="6"/>
      <c r="E8" s="6" t="str">
        <f aca="true" t="shared" si="2" ref="E8:V8">"VV"&amp;TEXT(E6,"000")&amp;"-"&amp;E7</f>
        <v>VV003-CR23</v>
      </c>
      <c r="F8" s="6" t="str">
        <f t="shared" si="2"/>
        <v>VV004-8KFFT</v>
      </c>
      <c r="G8" s="6" t="str">
        <f t="shared" si="2"/>
        <v>VV005-8KFFT</v>
      </c>
      <c r="H8" s="6" t="str">
        <f t="shared" si="2"/>
        <v>VV006-16KFFT</v>
      </c>
      <c r="I8" s="6" t="str">
        <f t="shared" si="2"/>
        <v>VV007-16KFFT</v>
      </c>
      <c r="J8" s="6" t="str">
        <f t="shared" si="2"/>
        <v>VV008-16KFFT</v>
      </c>
      <c r="K8" s="6" t="str">
        <f t="shared" si="2"/>
        <v>VV009-4KFFT</v>
      </c>
      <c r="L8" s="6" t="str">
        <f t="shared" si="2"/>
        <v>VV010-2KFFT</v>
      </c>
      <c r="M8" s="6" t="str">
        <f t="shared" si="2"/>
        <v>VV011-1KFFT</v>
      </c>
      <c r="N8" s="6" t="str">
        <f t="shared" si="2"/>
        <v>VV012-64QAM45</v>
      </c>
      <c r="O8" s="6" t="str">
        <f t="shared" si="2"/>
        <v>VV013-64QAM56</v>
      </c>
      <c r="P8" s="6" t="str">
        <f t="shared" si="2"/>
        <v>VV014-64QAM34</v>
      </c>
      <c r="Q8" s="6" t="str">
        <f t="shared" si="2"/>
        <v>VV015-8KFFT</v>
      </c>
      <c r="R8" s="6" t="str">
        <f t="shared" si="2"/>
        <v>VV016-256QAM34</v>
      </c>
      <c r="S8" s="6" t="str">
        <f t="shared" si="2"/>
        <v>VV017-PAPRTR</v>
      </c>
      <c r="T8" s="6" t="str">
        <f t="shared" si="2"/>
        <v>VV018-MISO</v>
      </c>
      <c r="U8" s="6" t="str">
        <f t="shared" si="2"/>
        <v>VV019-NOROT</v>
      </c>
      <c r="V8" s="6" t="str">
        <f t="shared" si="2"/>
        <v>VV020-FEF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 t="str">
        <f aca="true" t="shared" si="3" ref="AJ8:AQ8">"VV"&amp;TEXT(AJ6,"000")&amp;"-"&amp;AJ7</f>
        <v>VV034-DTG016</v>
      </c>
      <c r="AK8" s="6" t="str">
        <f t="shared" si="3"/>
        <v>VV035-DTG052</v>
      </c>
      <c r="AL8" s="6" t="str">
        <f t="shared" si="3"/>
        <v>VV036-DTG091</v>
      </c>
      <c r="AM8" s="6" t="str">
        <f t="shared" si="3"/>
        <v>VV037-DTG167</v>
      </c>
      <c r="AN8" s="6" t="str">
        <f t="shared" si="3"/>
        <v>VV038-DTG168</v>
      </c>
      <c r="AO8" s="6" t="str">
        <f t="shared" si="3"/>
        <v>VV039-V121</v>
      </c>
      <c r="AP8" s="6" t="str">
        <f t="shared" si="3"/>
        <v>VV040-TXSIGFEF</v>
      </c>
      <c r="AQ8" s="6" t="str">
        <f t="shared" si="3"/>
        <v>VV041-TXSIGAUX</v>
      </c>
    </row>
    <row r="9" spans="1:43" ht="64.5">
      <c r="A9" s="5"/>
      <c r="B9" s="14" t="s">
        <v>31</v>
      </c>
      <c r="C9" s="15" t="s">
        <v>32</v>
      </c>
      <c r="D9" s="15"/>
      <c r="E9" s="15" t="s">
        <v>33</v>
      </c>
      <c r="F9" s="15" t="s">
        <v>34</v>
      </c>
      <c r="G9" s="15" t="s">
        <v>35</v>
      </c>
      <c r="H9" s="15" t="s">
        <v>36</v>
      </c>
      <c r="I9" s="15" t="s">
        <v>37</v>
      </c>
      <c r="J9" s="15" t="s">
        <v>38</v>
      </c>
      <c r="K9" s="15" t="s">
        <v>11</v>
      </c>
      <c r="L9" s="15" t="s">
        <v>12</v>
      </c>
      <c r="M9" s="15" t="s">
        <v>13</v>
      </c>
      <c r="N9" s="15" t="s">
        <v>39</v>
      </c>
      <c r="O9" s="15" t="s">
        <v>40</v>
      </c>
      <c r="P9" s="15" t="s">
        <v>41</v>
      </c>
      <c r="Q9" s="15" t="s">
        <v>42</v>
      </c>
      <c r="R9" s="15" t="s">
        <v>43</v>
      </c>
      <c r="S9" s="16" t="s">
        <v>44</v>
      </c>
      <c r="T9" s="16" t="s">
        <v>45</v>
      </c>
      <c r="U9" s="16" t="s">
        <v>46</v>
      </c>
      <c r="V9" s="14" t="s">
        <v>21</v>
      </c>
      <c r="W9" s="14"/>
      <c r="X9" s="14"/>
      <c r="Y9" s="14"/>
      <c r="Z9" s="14"/>
      <c r="AA9" s="14"/>
      <c r="AB9" s="14"/>
      <c r="AC9" s="14"/>
      <c r="AD9" s="14"/>
      <c r="AE9" s="14"/>
      <c r="AF9" s="16"/>
      <c r="AG9" s="14"/>
      <c r="AH9" s="14"/>
      <c r="AI9" s="14"/>
      <c r="AJ9" s="14" t="s">
        <v>47</v>
      </c>
      <c r="AK9" s="14" t="s">
        <v>48</v>
      </c>
      <c r="AL9" s="14" t="s">
        <v>49</v>
      </c>
      <c r="AM9" s="14" t="s">
        <v>50</v>
      </c>
      <c r="AN9" s="14" t="s">
        <v>51</v>
      </c>
      <c r="AO9" s="14" t="s">
        <v>52</v>
      </c>
      <c r="AP9" s="14" t="s">
        <v>53</v>
      </c>
      <c r="AQ9" s="15" t="s">
        <v>54</v>
      </c>
    </row>
    <row r="10" spans="1:56" s="20" customFormat="1" ht="15.75">
      <c r="A10" s="17" t="s">
        <v>55</v>
      </c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</row>
    <row r="11" spans="1:56" ht="15.75">
      <c r="A11" s="21" t="s">
        <v>56</v>
      </c>
      <c r="B11" s="21" t="s">
        <v>57</v>
      </c>
      <c r="C11" s="2" t="s">
        <v>58</v>
      </c>
      <c r="E11" s="2" t="s">
        <v>58</v>
      </c>
      <c r="F11" s="2" t="s">
        <v>58</v>
      </c>
      <c r="G11" s="2" t="s">
        <v>58</v>
      </c>
      <c r="H11" s="2" t="s">
        <v>58</v>
      </c>
      <c r="I11" s="2" t="s">
        <v>58</v>
      </c>
      <c r="J11" s="2" t="s">
        <v>58</v>
      </c>
      <c r="K11" s="2" t="s">
        <v>58</v>
      </c>
      <c r="L11" s="2" t="s">
        <v>58</v>
      </c>
      <c r="M11" s="2" t="s">
        <v>58</v>
      </c>
      <c r="N11" s="2" t="s">
        <v>58</v>
      </c>
      <c r="O11" s="2" t="s">
        <v>58</v>
      </c>
      <c r="P11" s="2" t="s">
        <v>58</v>
      </c>
      <c r="Q11" s="2" t="s">
        <v>58</v>
      </c>
      <c r="R11" s="2" t="s">
        <v>58</v>
      </c>
      <c r="S11" s="2" t="s">
        <v>58</v>
      </c>
      <c r="T11" s="2" t="s">
        <v>58</v>
      </c>
      <c r="U11" s="2" t="s">
        <v>58</v>
      </c>
      <c r="V11" s="2" t="s">
        <v>58</v>
      </c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 t="s">
        <v>58</v>
      </c>
      <c r="AK11" s="2" t="s">
        <v>58</v>
      </c>
      <c r="AL11" s="2" t="s">
        <v>58</v>
      </c>
      <c r="AM11" s="2" t="s">
        <v>58</v>
      </c>
      <c r="AN11" s="2" t="s">
        <v>58</v>
      </c>
      <c r="AO11" s="2" t="s">
        <v>58</v>
      </c>
      <c r="AP11" s="2" t="s">
        <v>58</v>
      </c>
      <c r="AQ11" s="2" t="s">
        <v>58</v>
      </c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ht="15.75">
      <c r="A12" s="21" t="s">
        <v>59</v>
      </c>
      <c r="B12" s="21"/>
      <c r="C12" s="2" t="s">
        <v>60</v>
      </c>
      <c r="E12" s="2" t="s">
        <v>60</v>
      </c>
      <c r="F12" s="2" t="s">
        <v>60</v>
      </c>
      <c r="G12" s="2" t="s">
        <v>60</v>
      </c>
      <c r="H12" s="2" t="s">
        <v>60</v>
      </c>
      <c r="I12" s="2" t="s">
        <v>60</v>
      </c>
      <c r="J12" s="2" t="s">
        <v>60</v>
      </c>
      <c r="K12" s="2" t="s">
        <v>60</v>
      </c>
      <c r="L12" s="2" t="s">
        <v>60</v>
      </c>
      <c r="M12" s="2" t="s">
        <v>60</v>
      </c>
      <c r="N12" s="22" t="s">
        <v>60</v>
      </c>
      <c r="O12" s="22" t="s">
        <v>60</v>
      </c>
      <c r="P12" s="22" t="s">
        <v>60</v>
      </c>
      <c r="Q12" s="22" t="s">
        <v>60</v>
      </c>
      <c r="R12" s="22" t="s">
        <v>60</v>
      </c>
      <c r="S12" s="2" t="s">
        <v>60</v>
      </c>
      <c r="T12" s="2" t="s">
        <v>60</v>
      </c>
      <c r="U12" s="2" t="s">
        <v>60</v>
      </c>
      <c r="V12" s="2" t="s">
        <v>60</v>
      </c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3" t="s">
        <v>60</v>
      </c>
      <c r="AK12" s="2" t="s">
        <v>60</v>
      </c>
      <c r="AL12" s="24" t="s">
        <v>60</v>
      </c>
      <c r="AM12" s="2" t="s">
        <v>60</v>
      </c>
      <c r="AN12" s="2" t="s">
        <v>60</v>
      </c>
      <c r="AO12" s="2" t="s">
        <v>60</v>
      </c>
      <c r="AP12" s="2" t="s">
        <v>60</v>
      </c>
      <c r="AQ12" s="2" t="s">
        <v>60</v>
      </c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ht="15.75">
      <c r="A13" s="21" t="s">
        <v>61</v>
      </c>
      <c r="B13" s="21"/>
      <c r="C13" s="2" t="s">
        <v>62</v>
      </c>
      <c r="E13" s="2" t="s">
        <v>62</v>
      </c>
      <c r="F13" s="2" t="s">
        <v>63</v>
      </c>
      <c r="G13" s="2" t="s">
        <v>63</v>
      </c>
      <c r="H13" s="2" t="s">
        <v>64</v>
      </c>
      <c r="I13" s="2" t="s">
        <v>64</v>
      </c>
      <c r="J13" s="2" t="s">
        <v>64</v>
      </c>
      <c r="K13" s="2" t="s">
        <v>65</v>
      </c>
      <c r="L13" s="2" t="s">
        <v>66</v>
      </c>
      <c r="M13" s="2" t="s">
        <v>67</v>
      </c>
      <c r="N13" s="22" t="s">
        <v>63</v>
      </c>
      <c r="O13" s="22" t="s">
        <v>63</v>
      </c>
      <c r="P13" s="22" t="s">
        <v>63</v>
      </c>
      <c r="Q13" s="22" t="s">
        <v>63</v>
      </c>
      <c r="R13" s="22" t="s">
        <v>62</v>
      </c>
      <c r="S13" s="2" t="s">
        <v>62</v>
      </c>
      <c r="T13" s="2" t="s">
        <v>62</v>
      </c>
      <c r="U13" s="2" t="s">
        <v>62</v>
      </c>
      <c r="V13" s="2" t="s">
        <v>65</v>
      </c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4" t="s">
        <v>65</v>
      </c>
      <c r="AK13" s="23" t="s">
        <v>64</v>
      </c>
      <c r="AL13" s="24" t="s">
        <v>62</v>
      </c>
      <c r="AM13" s="2" t="s">
        <v>62</v>
      </c>
      <c r="AN13" s="2" t="s">
        <v>62</v>
      </c>
      <c r="AO13" s="2" t="s">
        <v>62</v>
      </c>
      <c r="AP13" s="2" t="s">
        <v>62</v>
      </c>
      <c r="AQ13" s="2" t="s">
        <v>62</v>
      </c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ht="15.75">
      <c r="A14" s="21" t="s">
        <v>68</v>
      </c>
      <c r="B14" s="21"/>
      <c r="C14" s="2" t="s">
        <v>69</v>
      </c>
      <c r="E14" s="2" t="s">
        <v>69</v>
      </c>
      <c r="F14" s="22" t="s">
        <v>70</v>
      </c>
      <c r="G14" s="22" t="s">
        <v>71</v>
      </c>
      <c r="H14" s="22" t="s">
        <v>72</v>
      </c>
      <c r="I14" s="22" t="s">
        <v>73</v>
      </c>
      <c r="J14" s="22" t="s">
        <v>74</v>
      </c>
      <c r="K14" s="22" t="s">
        <v>74</v>
      </c>
      <c r="L14" s="22" t="s">
        <v>75</v>
      </c>
      <c r="M14" s="22" t="s">
        <v>75</v>
      </c>
      <c r="N14" s="22" t="s">
        <v>74</v>
      </c>
      <c r="O14" s="22" t="s">
        <v>74</v>
      </c>
      <c r="P14" s="22" t="s">
        <v>74</v>
      </c>
      <c r="Q14" s="22" t="s">
        <v>74</v>
      </c>
      <c r="R14" s="22" t="s">
        <v>69</v>
      </c>
      <c r="S14" s="22" t="s">
        <v>74</v>
      </c>
      <c r="T14" s="22" t="s">
        <v>71</v>
      </c>
      <c r="U14" s="22" t="s">
        <v>69</v>
      </c>
      <c r="V14" s="22" t="s">
        <v>72</v>
      </c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4" t="s">
        <v>71</v>
      </c>
      <c r="AK14" s="23" t="s">
        <v>75</v>
      </c>
      <c r="AL14" s="24" t="s">
        <v>75</v>
      </c>
      <c r="AM14" s="23" t="s">
        <v>69</v>
      </c>
      <c r="AN14" s="23" t="s">
        <v>69</v>
      </c>
      <c r="AO14" s="23" t="s">
        <v>69</v>
      </c>
      <c r="AP14" s="23" t="s">
        <v>69</v>
      </c>
      <c r="AQ14" s="2" t="s">
        <v>69</v>
      </c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ht="15.75">
      <c r="A15" s="21" t="s">
        <v>76</v>
      </c>
      <c r="B15" s="21" t="s">
        <v>77</v>
      </c>
      <c r="C15" s="2">
        <v>59</v>
      </c>
      <c r="E15" s="2">
        <v>59</v>
      </c>
      <c r="F15" s="2">
        <v>81</v>
      </c>
      <c r="G15" s="2">
        <v>59</v>
      </c>
      <c r="H15" s="2">
        <v>22</v>
      </c>
      <c r="I15" s="2">
        <v>59</v>
      </c>
      <c r="J15" s="2">
        <v>100</v>
      </c>
      <c r="K15" s="2">
        <v>100</v>
      </c>
      <c r="L15" s="2">
        <v>983</v>
      </c>
      <c r="M15" s="2">
        <v>1966</v>
      </c>
      <c r="N15" s="2">
        <v>242</v>
      </c>
      <c r="O15" s="2">
        <v>242</v>
      </c>
      <c r="P15" s="2">
        <v>242</v>
      </c>
      <c r="Q15" s="2">
        <v>238</v>
      </c>
      <c r="R15" s="2">
        <v>59</v>
      </c>
      <c r="S15" s="2">
        <v>19</v>
      </c>
      <c r="T15" s="24">
        <v>19</v>
      </c>
      <c r="U15" s="2">
        <v>59</v>
      </c>
      <c r="V15" s="2">
        <v>15</v>
      </c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4"/>
      <c r="AJ15" s="24">
        <v>500</v>
      </c>
      <c r="AK15" s="2">
        <v>100</v>
      </c>
      <c r="AL15" s="24">
        <v>53</v>
      </c>
      <c r="AM15" s="2">
        <v>59</v>
      </c>
      <c r="AN15" s="2">
        <v>19</v>
      </c>
      <c r="AO15" s="2">
        <v>59</v>
      </c>
      <c r="AP15" s="2">
        <v>19</v>
      </c>
      <c r="AQ15" s="2">
        <v>59</v>
      </c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ht="15.75">
      <c r="A16" s="21" t="s">
        <v>78</v>
      </c>
      <c r="B16" s="21"/>
      <c r="C16" s="2" t="s">
        <v>79</v>
      </c>
      <c r="E16" s="2" t="s">
        <v>79</v>
      </c>
      <c r="F16" s="2" t="s">
        <v>79</v>
      </c>
      <c r="G16" s="2" t="s">
        <v>79</v>
      </c>
      <c r="H16" s="2" t="s">
        <v>79</v>
      </c>
      <c r="I16" s="2" t="s">
        <v>79</v>
      </c>
      <c r="J16" s="2" t="s">
        <v>79</v>
      </c>
      <c r="K16" s="2" t="s">
        <v>79</v>
      </c>
      <c r="L16" s="2" t="s">
        <v>79</v>
      </c>
      <c r="M16" s="2" t="s">
        <v>79</v>
      </c>
      <c r="N16" s="22" t="s">
        <v>79</v>
      </c>
      <c r="O16" s="22" t="s">
        <v>79</v>
      </c>
      <c r="P16" s="22" t="s">
        <v>79</v>
      </c>
      <c r="Q16" s="22" t="s">
        <v>79</v>
      </c>
      <c r="R16" s="22" t="s">
        <v>79</v>
      </c>
      <c r="S16" s="2" t="s">
        <v>79</v>
      </c>
      <c r="T16" s="2" t="s">
        <v>19</v>
      </c>
      <c r="U16" s="2" t="s">
        <v>79</v>
      </c>
      <c r="V16" s="2" t="s">
        <v>79</v>
      </c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4" t="s">
        <v>79</v>
      </c>
      <c r="AK16" s="2" t="s">
        <v>79</v>
      </c>
      <c r="AL16" s="24" t="s">
        <v>79</v>
      </c>
      <c r="AM16" s="2" t="s">
        <v>79</v>
      </c>
      <c r="AN16" s="2" t="s">
        <v>79</v>
      </c>
      <c r="AO16" s="2" t="s">
        <v>79</v>
      </c>
      <c r="AP16" s="2" t="s">
        <v>79</v>
      </c>
      <c r="AQ16" s="2" t="s">
        <v>79</v>
      </c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ht="15.75">
      <c r="A17" s="21" t="s">
        <v>80</v>
      </c>
      <c r="B17" s="21"/>
      <c r="C17" s="2" t="s">
        <v>81</v>
      </c>
      <c r="E17" s="2" t="s">
        <v>81</v>
      </c>
      <c r="F17" s="2" t="s">
        <v>81</v>
      </c>
      <c r="G17" s="2" t="s">
        <v>81</v>
      </c>
      <c r="H17" s="2" t="s">
        <v>81</v>
      </c>
      <c r="I17" s="2" t="s">
        <v>81</v>
      </c>
      <c r="J17" s="2" t="s">
        <v>81</v>
      </c>
      <c r="K17" s="2" t="s">
        <v>81</v>
      </c>
      <c r="L17" s="2" t="s">
        <v>81</v>
      </c>
      <c r="M17" s="2" t="s">
        <v>81</v>
      </c>
      <c r="N17" s="22" t="s">
        <v>82</v>
      </c>
      <c r="O17" s="22" t="s">
        <v>82</v>
      </c>
      <c r="P17" s="22" t="s">
        <v>82</v>
      </c>
      <c r="Q17" s="22" t="s">
        <v>81</v>
      </c>
      <c r="R17" s="22" t="s">
        <v>82</v>
      </c>
      <c r="S17" s="2" t="s">
        <v>82</v>
      </c>
      <c r="T17" s="2" t="s">
        <v>81</v>
      </c>
      <c r="U17" s="2" t="s">
        <v>81</v>
      </c>
      <c r="V17" s="2" t="s">
        <v>81</v>
      </c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4" t="s">
        <v>81</v>
      </c>
      <c r="AK17" s="2" t="s">
        <v>82</v>
      </c>
      <c r="AL17" s="24" t="s">
        <v>82</v>
      </c>
      <c r="AM17" s="2" t="s">
        <v>81</v>
      </c>
      <c r="AN17" s="2" t="s">
        <v>81</v>
      </c>
      <c r="AO17" s="25" t="s">
        <v>83</v>
      </c>
      <c r="AP17" s="2" t="s">
        <v>81</v>
      </c>
      <c r="AQ17" s="2" t="s">
        <v>81</v>
      </c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ht="15.75">
      <c r="A18" s="21" t="s">
        <v>84</v>
      </c>
      <c r="B18" s="21"/>
      <c r="C18" s="2" t="s">
        <v>81</v>
      </c>
      <c r="E18" s="2" t="s">
        <v>81</v>
      </c>
      <c r="F18" s="2" t="s">
        <v>81</v>
      </c>
      <c r="G18" s="2" t="s">
        <v>81</v>
      </c>
      <c r="H18" s="2" t="s">
        <v>81</v>
      </c>
      <c r="I18" s="2" t="s">
        <v>81</v>
      </c>
      <c r="J18" s="2" t="s">
        <v>81</v>
      </c>
      <c r="K18" s="2" t="s">
        <v>81</v>
      </c>
      <c r="L18" s="2" t="s">
        <v>81</v>
      </c>
      <c r="M18" s="2" t="s">
        <v>81</v>
      </c>
      <c r="N18" s="2" t="s">
        <v>81</v>
      </c>
      <c r="O18" s="2" t="s">
        <v>81</v>
      </c>
      <c r="P18" s="2" t="s">
        <v>81</v>
      </c>
      <c r="Q18" s="2" t="s">
        <v>81</v>
      </c>
      <c r="R18" s="2" t="s">
        <v>81</v>
      </c>
      <c r="S18" s="2" t="s">
        <v>81</v>
      </c>
      <c r="T18" s="2" t="s">
        <v>81</v>
      </c>
      <c r="U18" s="2" t="s">
        <v>81</v>
      </c>
      <c r="V18" s="2" t="s">
        <v>81</v>
      </c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4" t="s">
        <v>81</v>
      </c>
      <c r="AK18" s="2" t="s">
        <v>81</v>
      </c>
      <c r="AL18" s="24" t="s">
        <v>81</v>
      </c>
      <c r="AM18" s="24" t="s">
        <v>81</v>
      </c>
      <c r="AN18" s="24" t="s">
        <v>81</v>
      </c>
      <c r="AO18" s="24" t="s">
        <v>81</v>
      </c>
      <c r="AP18" s="24" t="s">
        <v>81</v>
      </c>
      <c r="AQ18" s="2" t="s">
        <v>81</v>
      </c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ht="15.75">
      <c r="A19" s="21" t="s">
        <v>85</v>
      </c>
      <c r="B19" s="21"/>
      <c r="C19" s="2">
        <v>2</v>
      </c>
      <c r="E19" s="2">
        <v>2</v>
      </c>
      <c r="F19" s="2">
        <v>2</v>
      </c>
      <c r="G19" s="2">
        <v>2</v>
      </c>
      <c r="H19" s="2">
        <v>2</v>
      </c>
      <c r="I19" s="2">
        <v>2</v>
      </c>
      <c r="J19" s="2">
        <v>2</v>
      </c>
      <c r="K19" s="2">
        <v>2</v>
      </c>
      <c r="L19" s="2">
        <v>2</v>
      </c>
      <c r="M19" s="2">
        <v>2</v>
      </c>
      <c r="N19" s="22">
        <v>2</v>
      </c>
      <c r="O19" s="22">
        <v>2</v>
      </c>
      <c r="P19" s="22">
        <v>2</v>
      </c>
      <c r="Q19" s="22">
        <v>2</v>
      </c>
      <c r="R19" s="22">
        <v>2</v>
      </c>
      <c r="S19" s="2">
        <v>2</v>
      </c>
      <c r="T19" s="2">
        <v>2</v>
      </c>
      <c r="U19" s="2">
        <v>2</v>
      </c>
      <c r="V19" s="2">
        <v>4</v>
      </c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4">
        <v>2</v>
      </c>
      <c r="AK19" s="2">
        <v>2</v>
      </c>
      <c r="AL19" s="24">
        <v>2</v>
      </c>
      <c r="AM19" s="2">
        <v>4</v>
      </c>
      <c r="AN19" s="2">
        <v>4</v>
      </c>
      <c r="AO19" s="2">
        <v>4</v>
      </c>
      <c r="AP19" s="2">
        <v>4</v>
      </c>
      <c r="AQ19" s="2">
        <v>2</v>
      </c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ht="15.75">
      <c r="A20" s="21" t="s">
        <v>86</v>
      </c>
      <c r="B20" s="21"/>
      <c r="C20" s="2" t="s">
        <v>87</v>
      </c>
      <c r="E20" s="2" t="s">
        <v>87</v>
      </c>
      <c r="F20" s="2" t="s">
        <v>87</v>
      </c>
      <c r="G20" s="2" t="s">
        <v>87</v>
      </c>
      <c r="H20" s="2" t="s">
        <v>87</v>
      </c>
      <c r="I20" s="2" t="s">
        <v>87</v>
      </c>
      <c r="J20" s="2" t="s">
        <v>87</v>
      </c>
      <c r="K20" s="2" t="s">
        <v>87</v>
      </c>
      <c r="L20" s="2" t="s">
        <v>87</v>
      </c>
      <c r="M20" s="22" t="s">
        <v>87</v>
      </c>
      <c r="N20" s="22" t="s">
        <v>87</v>
      </c>
      <c r="O20" s="22" t="s">
        <v>87</v>
      </c>
      <c r="P20" s="22" t="s">
        <v>87</v>
      </c>
      <c r="Q20" s="22" t="s">
        <v>87</v>
      </c>
      <c r="R20" s="22" t="s">
        <v>87</v>
      </c>
      <c r="S20" s="2" t="s">
        <v>87</v>
      </c>
      <c r="T20" s="2" t="s">
        <v>87</v>
      </c>
      <c r="U20" s="2" t="s">
        <v>87</v>
      </c>
      <c r="V20" s="2" t="s">
        <v>87</v>
      </c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4" t="s">
        <v>87</v>
      </c>
      <c r="AK20" s="2" t="s">
        <v>87</v>
      </c>
      <c r="AL20" s="24" t="s">
        <v>49</v>
      </c>
      <c r="AM20" s="2" t="s">
        <v>87</v>
      </c>
      <c r="AN20" s="2" t="s">
        <v>87</v>
      </c>
      <c r="AO20" s="2" t="s">
        <v>87</v>
      </c>
      <c r="AP20" s="2" t="s">
        <v>87</v>
      </c>
      <c r="AQ20" s="2" t="s">
        <v>87</v>
      </c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1:56" ht="15.75">
      <c r="A21" s="21" t="s">
        <v>88</v>
      </c>
      <c r="B21" s="21"/>
      <c r="C21" s="2" t="s">
        <v>89</v>
      </c>
      <c r="E21" s="2" t="s">
        <v>89</v>
      </c>
      <c r="F21" s="2" t="s">
        <v>89</v>
      </c>
      <c r="G21" s="2" t="s">
        <v>89</v>
      </c>
      <c r="H21" s="2" t="s">
        <v>90</v>
      </c>
      <c r="I21" s="2" t="s">
        <v>89</v>
      </c>
      <c r="J21" s="2" t="s">
        <v>89</v>
      </c>
      <c r="K21" s="22" t="s">
        <v>90</v>
      </c>
      <c r="L21" s="22" t="s">
        <v>90</v>
      </c>
      <c r="M21" s="22" t="s">
        <v>90</v>
      </c>
      <c r="N21" s="22" t="s">
        <v>89</v>
      </c>
      <c r="O21" s="22" t="s">
        <v>89</v>
      </c>
      <c r="P21" s="22" t="s">
        <v>89</v>
      </c>
      <c r="Q21" s="22" t="s">
        <v>89</v>
      </c>
      <c r="R21" s="22" t="s">
        <v>89</v>
      </c>
      <c r="S21" s="2" t="s">
        <v>89</v>
      </c>
      <c r="T21" s="2" t="s">
        <v>89</v>
      </c>
      <c r="U21" s="2" t="s">
        <v>89</v>
      </c>
      <c r="V21" s="2" t="s">
        <v>90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4" t="s">
        <v>90</v>
      </c>
      <c r="AK21" s="2" t="s">
        <v>90</v>
      </c>
      <c r="AL21" s="24" t="s">
        <v>90</v>
      </c>
      <c r="AM21" s="2" t="s">
        <v>89</v>
      </c>
      <c r="AN21" s="2" t="s">
        <v>89</v>
      </c>
      <c r="AO21" s="2" t="s">
        <v>89</v>
      </c>
      <c r="AP21" s="2" t="s">
        <v>89</v>
      </c>
      <c r="AQ21" s="2" t="s">
        <v>89</v>
      </c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</row>
    <row r="22" spans="1:56" ht="15.75">
      <c r="A22" s="21" t="s">
        <v>91</v>
      </c>
      <c r="B22" s="21"/>
      <c r="C22" s="2" t="s">
        <v>92</v>
      </c>
      <c r="E22" s="2" t="s">
        <v>92</v>
      </c>
      <c r="F22" s="2" t="s">
        <v>93</v>
      </c>
      <c r="G22" s="2" t="s">
        <v>94</v>
      </c>
      <c r="H22" s="2" t="s">
        <v>95</v>
      </c>
      <c r="I22" s="2" t="s">
        <v>94</v>
      </c>
      <c r="J22" s="2" t="s">
        <v>38</v>
      </c>
      <c r="K22" s="2" t="s">
        <v>92</v>
      </c>
      <c r="L22" s="2" t="s">
        <v>96</v>
      </c>
      <c r="M22" s="2" t="s">
        <v>97</v>
      </c>
      <c r="N22" s="22" t="s">
        <v>92</v>
      </c>
      <c r="O22" s="22" t="s">
        <v>92</v>
      </c>
      <c r="P22" s="22" t="s">
        <v>92</v>
      </c>
      <c r="Q22" s="22" t="s">
        <v>92</v>
      </c>
      <c r="R22" s="22" t="s">
        <v>92</v>
      </c>
      <c r="S22" s="2" t="s">
        <v>98</v>
      </c>
      <c r="T22" s="2" t="s">
        <v>96</v>
      </c>
      <c r="U22" s="2" t="s">
        <v>92</v>
      </c>
      <c r="V22" s="2" t="s">
        <v>95</v>
      </c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4" t="s">
        <v>93</v>
      </c>
      <c r="AK22" s="2" t="s">
        <v>97</v>
      </c>
      <c r="AL22" s="24" t="s">
        <v>96</v>
      </c>
      <c r="AM22" s="2" t="s">
        <v>92</v>
      </c>
      <c r="AN22" s="2" t="s">
        <v>92</v>
      </c>
      <c r="AO22" s="2" t="s">
        <v>92</v>
      </c>
      <c r="AP22" s="2" t="s">
        <v>92</v>
      </c>
      <c r="AQ22" s="2" t="s">
        <v>92</v>
      </c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</row>
    <row r="23" spans="1:56" ht="15.75">
      <c r="A23" s="21" t="s">
        <v>99</v>
      </c>
      <c r="B23" s="21"/>
      <c r="C23" s="2" t="s">
        <v>100</v>
      </c>
      <c r="E23" s="2" t="s">
        <v>100</v>
      </c>
      <c r="F23" s="22" t="s">
        <v>100</v>
      </c>
      <c r="G23" s="22" t="s">
        <v>100</v>
      </c>
      <c r="H23" s="22" t="s">
        <v>100</v>
      </c>
      <c r="I23" s="22" t="s">
        <v>100</v>
      </c>
      <c r="J23" s="22" t="s">
        <v>100</v>
      </c>
      <c r="K23" s="22" t="s">
        <v>101</v>
      </c>
      <c r="L23" s="22" t="s">
        <v>102</v>
      </c>
      <c r="M23" s="22" t="s">
        <v>103</v>
      </c>
      <c r="N23" s="22" t="s">
        <v>100</v>
      </c>
      <c r="O23" s="22" t="s">
        <v>100</v>
      </c>
      <c r="P23" s="22" t="s">
        <v>100</v>
      </c>
      <c r="Q23" s="22" t="s">
        <v>100</v>
      </c>
      <c r="R23" s="22" t="s">
        <v>100</v>
      </c>
      <c r="S23" s="2" t="s">
        <v>100</v>
      </c>
      <c r="T23" s="2" t="s">
        <v>100</v>
      </c>
      <c r="U23" s="2" t="s">
        <v>100</v>
      </c>
      <c r="V23" s="2" t="s">
        <v>102</v>
      </c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4" t="s">
        <v>102</v>
      </c>
      <c r="AK23" s="2" t="s">
        <v>100</v>
      </c>
      <c r="AL23" s="24" t="s">
        <v>100</v>
      </c>
      <c r="AM23" s="2" t="s">
        <v>100</v>
      </c>
      <c r="AN23" s="2" t="s">
        <v>100</v>
      </c>
      <c r="AO23" s="2" t="s">
        <v>100</v>
      </c>
      <c r="AP23" s="2" t="s">
        <v>100</v>
      </c>
      <c r="AQ23" s="2" t="s">
        <v>100</v>
      </c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1:56" ht="15.75">
      <c r="A24" s="21" t="s">
        <v>104</v>
      </c>
      <c r="B24" s="21" t="s">
        <v>105</v>
      </c>
      <c r="C24" s="2">
        <v>1</v>
      </c>
      <c r="E24" s="2">
        <v>1</v>
      </c>
      <c r="F24" s="2">
        <v>1</v>
      </c>
      <c r="G24" s="2">
        <v>1</v>
      </c>
      <c r="H24" s="2">
        <v>1</v>
      </c>
      <c r="I24" s="2">
        <v>1</v>
      </c>
      <c r="J24" s="2">
        <v>1</v>
      </c>
      <c r="K24" s="2">
        <v>1</v>
      </c>
      <c r="L24" s="2">
        <v>1</v>
      </c>
      <c r="M24" s="2">
        <v>1</v>
      </c>
      <c r="N24" s="2">
        <v>1</v>
      </c>
      <c r="O24" s="2">
        <v>1</v>
      </c>
      <c r="P24" s="2">
        <v>1</v>
      </c>
      <c r="Q24" s="2">
        <v>1</v>
      </c>
      <c r="R24" s="2">
        <v>1</v>
      </c>
      <c r="S24" s="2">
        <v>1</v>
      </c>
      <c r="T24" s="2">
        <v>1</v>
      </c>
      <c r="U24" s="2">
        <v>1</v>
      </c>
      <c r="V24" s="2">
        <v>1</v>
      </c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4">
        <v>1</v>
      </c>
      <c r="AK24" s="2">
        <v>1</v>
      </c>
      <c r="AL24" s="24">
        <v>1</v>
      </c>
      <c r="AM24" s="2">
        <v>1</v>
      </c>
      <c r="AN24" s="2">
        <v>1</v>
      </c>
      <c r="AO24" s="2">
        <v>1</v>
      </c>
      <c r="AP24" s="2">
        <v>1</v>
      </c>
      <c r="AQ24" s="2">
        <v>1</v>
      </c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1:56" ht="15.75">
      <c r="A25" s="21" t="s">
        <v>21</v>
      </c>
      <c r="B25" s="21"/>
      <c r="C25" s="2" t="s">
        <v>81</v>
      </c>
      <c r="E25" s="2" t="s">
        <v>81</v>
      </c>
      <c r="F25" s="2" t="s">
        <v>81</v>
      </c>
      <c r="G25" s="2" t="s">
        <v>81</v>
      </c>
      <c r="H25" s="2" t="s">
        <v>81</v>
      </c>
      <c r="I25" s="2" t="s">
        <v>81</v>
      </c>
      <c r="J25" s="2" t="s">
        <v>81</v>
      </c>
      <c r="K25" s="2" t="s">
        <v>81</v>
      </c>
      <c r="L25" s="2" t="s">
        <v>81</v>
      </c>
      <c r="M25" s="22" t="s">
        <v>81</v>
      </c>
      <c r="N25" s="22" t="s">
        <v>81</v>
      </c>
      <c r="O25" s="22" t="s">
        <v>81</v>
      </c>
      <c r="P25" s="22" t="s">
        <v>81</v>
      </c>
      <c r="Q25" s="22" t="s">
        <v>81</v>
      </c>
      <c r="R25" s="22" t="s">
        <v>81</v>
      </c>
      <c r="S25" s="2" t="s">
        <v>81</v>
      </c>
      <c r="T25" s="2" t="s">
        <v>81</v>
      </c>
      <c r="U25" s="2" t="s">
        <v>81</v>
      </c>
      <c r="V25" s="2" t="s">
        <v>89</v>
      </c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4" t="s">
        <v>81</v>
      </c>
      <c r="AK25" s="2" t="s">
        <v>81</v>
      </c>
      <c r="AL25" s="24" t="s">
        <v>81</v>
      </c>
      <c r="AM25" s="2" t="s">
        <v>89</v>
      </c>
      <c r="AN25" s="2" t="s">
        <v>89</v>
      </c>
      <c r="AO25" s="2" t="s">
        <v>89</v>
      </c>
      <c r="AP25" s="2" t="s">
        <v>89</v>
      </c>
      <c r="AQ25" s="2" t="s">
        <v>81</v>
      </c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1:56" ht="15.75">
      <c r="A26" s="21" t="s">
        <v>106</v>
      </c>
      <c r="B26" s="21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">
        <v>0</v>
      </c>
      <c r="W26" s="26"/>
      <c r="X26" s="26"/>
      <c r="Y26" s="26"/>
      <c r="Z26" s="26"/>
      <c r="AA26" s="26"/>
      <c r="AB26" s="26"/>
      <c r="AC26" s="26"/>
      <c r="AD26" s="26"/>
      <c r="AE26" s="26"/>
      <c r="AF26" s="2"/>
      <c r="AG26" s="26"/>
      <c r="AH26" s="26"/>
      <c r="AI26" s="26"/>
      <c r="AJ26" s="26"/>
      <c r="AK26" s="26"/>
      <c r="AL26" s="26"/>
      <c r="AM26" s="2">
        <v>0</v>
      </c>
      <c r="AN26" s="2">
        <v>0</v>
      </c>
      <c r="AO26" s="2">
        <v>0</v>
      </c>
      <c r="AP26" s="2">
        <v>0</v>
      </c>
      <c r="AQ26" s="26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1:56" ht="15.75">
      <c r="A27" s="21" t="s">
        <v>107</v>
      </c>
      <c r="B27" s="21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">
        <v>78848</v>
      </c>
      <c r="W27" s="26"/>
      <c r="X27" s="26"/>
      <c r="Y27" s="26"/>
      <c r="Z27" s="26"/>
      <c r="AA27" s="26"/>
      <c r="AB27" s="26"/>
      <c r="AC27" s="26"/>
      <c r="AD27" s="26"/>
      <c r="AE27" s="26"/>
      <c r="AF27" s="2"/>
      <c r="AG27" s="26"/>
      <c r="AH27" s="26"/>
      <c r="AI27" s="26"/>
      <c r="AJ27" s="26"/>
      <c r="AK27" s="26"/>
      <c r="AL27" s="26"/>
      <c r="AM27" s="2">
        <v>550000</v>
      </c>
      <c r="AN27" s="2">
        <v>914286</v>
      </c>
      <c r="AO27" s="2">
        <v>550000</v>
      </c>
      <c r="AP27" s="2">
        <v>914286</v>
      </c>
      <c r="AQ27" s="26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</row>
    <row r="28" spans="1:56" ht="15.75">
      <c r="A28" s="21" t="s">
        <v>108</v>
      </c>
      <c r="B28" s="21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">
        <v>2</v>
      </c>
      <c r="W28" s="26"/>
      <c r="X28" s="26"/>
      <c r="Y28" s="26"/>
      <c r="Z28" s="26"/>
      <c r="AA28" s="26"/>
      <c r="AB28" s="26"/>
      <c r="AC28" s="26"/>
      <c r="AD28" s="26"/>
      <c r="AE28" s="26"/>
      <c r="AF28" s="2"/>
      <c r="AG28" s="26"/>
      <c r="AH28" s="26"/>
      <c r="AI28" s="26"/>
      <c r="AJ28" s="26"/>
      <c r="AK28" s="26"/>
      <c r="AL28" s="26"/>
      <c r="AM28" s="2">
        <v>1</v>
      </c>
      <c r="AN28" s="2">
        <v>1</v>
      </c>
      <c r="AO28" s="2">
        <v>1</v>
      </c>
      <c r="AP28" s="2">
        <v>1</v>
      </c>
      <c r="AQ28" s="26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1:56" ht="15.75">
      <c r="A29" s="21" t="s">
        <v>109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">
        <v>2</v>
      </c>
      <c r="W29" s="26"/>
      <c r="X29" s="26"/>
      <c r="Y29" s="26"/>
      <c r="Z29" s="26"/>
      <c r="AA29" s="26"/>
      <c r="AB29" s="26"/>
      <c r="AC29" s="26"/>
      <c r="AD29" s="26"/>
      <c r="AE29" s="26"/>
      <c r="AF29" s="2"/>
      <c r="AG29" s="26"/>
      <c r="AH29" s="26"/>
      <c r="AI29" s="26"/>
      <c r="AJ29" s="26"/>
      <c r="AK29" s="26"/>
      <c r="AL29" s="26"/>
      <c r="AM29" s="2">
        <v>2</v>
      </c>
      <c r="AN29" s="2">
        <v>2</v>
      </c>
      <c r="AO29" s="2">
        <v>2</v>
      </c>
      <c r="AP29" s="2">
        <v>2</v>
      </c>
      <c r="AQ29" s="26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1:56" ht="15.75">
      <c r="A30" s="21" t="s">
        <v>110</v>
      </c>
      <c r="B30" s="21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">
        <v>1</v>
      </c>
      <c r="W30" s="26"/>
      <c r="X30" s="26"/>
      <c r="Y30" s="26"/>
      <c r="Z30" s="26"/>
      <c r="AA30" s="26"/>
      <c r="AB30" s="26"/>
      <c r="AC30" s="26"/>
      <c r="AD30" s="26"/>
      <c r="AE30" s="26"/>
      <c r="AF30" s="2"/>
      <c r="AG30" s="26"/>
      <c r="AH30" s="26"/>
      <c r="AI30" s="26"/>
      <c r="AJ30" s="26"/>
      <c r="AK30" s="26"/>
      <c r="AL30" s="26"/>
      <c r="AM30" s="2">
        <v>1</v>
      </c>
      <c r="AN30" s="2">
        <v>1</v>
      </c>
      <c r="AO30" s="2">
        <v>1</v>
      </c>
      <c r="AP30" s="2">
        <v>1</v>
      </c>
      <c r="AQ30" s="26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1:56" ht="31.5">
      <c r="A31" s="21" t="s">
        <v>111</v>
      </c>
      <c r="B31" s="27" t="s">
        <v>112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" t="s">
        <v>113</v>
      </c>
      <c r="W31" s="26"/>
      <c r="X31" s="26"/>
      <c r="Y31" s="26"/>
      <c r="Z31" s="26"/>
      <c r="AA31" s="26"/>
      <c r="AB31" s="26"/>
      <c r="AC31" s="26"/>
      <c r="AD31" s="26"/>
      <c r="AE31" s="26"/>
      <c r="AF31" s="2"/>
      <c r="AG31" s="26"/>
      <c r="AH31" s="26"/>
      <c r="AI31" s="26"/>
      <c r="AJ31" s="26"/>
      <c r="AK31" s="26"/>
      <c r="AL31" s="26"/>
      <c r="AM31" s="2" t="s">
        <v>114</v>
      </c>
      <c r="AN31" s="2" t="s">
        <v>114</v>
      </c>
      <c r="AO31" s="2" t="s">
        <v>114</v>
      </c>
      <c r="AP31" s="2" t="s">
        <v>115</v>
      </c>
      <c r="AQ31" s="26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1:56" ht="15.75">
      <c r="A32" s="21" t="s">
        <v>116</v>
      </c>
      <c r="B32" s="27" t="s">
        <v>117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"/>
      <c r="W32" s="26"/>
      <c r="X32" s="26"/>
      <c r="Y32" s="26"/>
      <c r="Z32" s="26"/>
      <c r="AA32" s="26"/>
      <c r="AB32" s="26"/>
      <c r="AC32" s="26"/>
      <c r="AD32" s="26"/>
      <c r="AE32" s="26"/>
      <c r="AF32" s="2"/>
      <c r="AG32" s="26"/>
      <c r="AH32" s="26"/>
      <c r="AI32" s="26"/>
      <c r="AJ32" s="26"/>
      <c r="AK32" s="26"/>
      <c r="AL32" s="26"/>
      <c r="AM32" s="2"/>
      <c r="AN32" s="2"/>
      <c r="AO32" s="2"/>
      <c r="AP32" s="2">
        <f>1</f>
        <v>1</v>
      </c>
      <c r="AQ32" s="26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1:56" ht="15.75">
      <c r="A33" s="21" t="s">
        <v>118</v>
      </c>
      <c r="B33" s="27" t="s">
        <v>117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"/>
      <c r="W33" s="26"/>
      <c r="X33" s="26"/>
      <c r="Y33" s="26"/>
      <c r="Z33" s="26"/>
      <c r="AA33" s="26"/>
      <c r="AB33" s="26"/>
      <c r="AC33" s="26"/>
      <c r="AD33" s="26"/>
      <c r="AE33" s="26"/>
      <c r="AF33" s="2"/>
      <c r="AG33" s="26"/>
      <c r="AH33" s="26"/>
      <c r="AI33" s="26"/>
      <c r="AJ33" s="26"/>
      <c r="AK33" s="26"/>
      <c r="AL33" s="26"/>
      <c r="AM33" s="2"/>
      <c r="AN33" s="2"/>
      <c r="AO33" s="2"/>
      <c r="AP33" s="2">
        <f>2</f>
        <v>2</v>
      </c>
      <c r="AQ33" s="26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1:56" ht="31.5">
      <c r="A34" s="21" t="s">
        <v>119</v>
      </c>
      <c r="B34" s="27" t="s">
        <v>120</v>
      </c>
      <c r="C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4">
        <v>0</v>
      </c>
      <c r="AK34" s="24">
        <v>0</v>
      </c>
      <c r="AL34" s="24">
        <v>0</v>
      </c>
      <c r="AM34" s="24">
        <v>0</v>
      </c>
      <c r="AN34" s="24">
        <v>0</v>
      </c>
      <c r="AO34" s="24">
        <v>0</v>
      </c>
      <c r="AP34" s="24">
        <v>0</v>
      </c>
      <c r="AQ34" s="2">
        <v>0</v>
      </c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</row>
    <row r="35" spans="1:56" ht="15.75">
      <c r="A35" s="21" t="s">
        <v>121</v>
      </c>
      <c r="B35" s="27"/>
      <c r="C35" s="2">
        <v>1</v>
      </c>
      <c r="E35" s="2">
        <v>1</v>
      </c>
      <c r="F35" s="2">
        <v>1</v>
      </c>
      <c r="G35" s="2">
        <v>1</v>
      </c>
      <c r="H35" s="2">
        <v>1</v>
      </c>
      <c r="I35" s="2">
        <v>1</v>
      </c>
      <c r="J35" s="2">
        <v>1</v>
      </c>
      <c r="K35" s="2">
        <v>1</v>
      </c>
      <c r="L35" s="2">
        <v>1</v>
      </c>
      <c r="M35" s="2">
        <v>1</v>
      </c>
      <c r="N35" s="2">
        <v>1</v>
      </c>
      <c r="O35" s="2">
        <v>1</v>
      </c>
      <c r="P35" s="2">
        <v>1</v>
      </c>
      <c r="Q35" s="2">
        <v>1</v>
      </c>
      <c r="R35" s="2">
        <v>1</v>
      </c>
      <c r="S35" s="2">
        <v>1</v>
      </c>
      <c r="T35" s="2">
        <v>1</v>
      </c>
      <c r="U35" s="2">
        <v>1</v>
      </c>
      <c r="V35" s="2">
        <v>1</v>
      </c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4">
        <v>1</v>
      </c>
      <c r="AK35" s="2">
        <v>1</v>
      </c>
      <c r="AL35" s="24">
        <v>1</v>
      </c>
      <c r="AM35" s="2">
        <v>1</v>
      </c>
      <c r="AN35" s="2">
        <v>1</v>
      </c>
      <c r="AO35" s="2">
        <v>1</v>
      </c>
      <c r="AP35" s="2">
        <v>1</v>
      </c>
      <c r="AQ35" s="2">
        <v>1</v>
      </c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1:56" ht="15.75">
      <c r="A36" s="21" t="s">
        <v>122</v>
      </c>
      <c r="B36" s="27"/>
      <c r="C36" s="2">
        <v>1</v>
      </c>
      <c r="E36" s="2">
        <v>1</v>
      </c>
      <c r="F36" s="2">
        <v>1</v>
      </c>
      <c r="G36" s="2">
        <v>1</v>
      </c>
      <c r="H36" s="2">
        <v>1</v>
      </c>
      <c r="I36" s="2">
        <v>1</v>
      </c>
      <c r="J36" s="2">
        <v>1</v>
      </c>
      <c r="K36" s="2">
        <v>1</v>
      </c>
      <c r="L36" s="2">
        <v>1</v>
      </c>
      <c r="M36" s="2">
        <v>1</v>
      </c>
      <c r="N36" s="2">
        <v>1</v>
      </c>
      <c r="O36" s="2">
        <v>1</v>
      </c>
      <c r="P36" s="2">
        <v>1</v>
      </c>
      <c r="Q36" s="2">
        <v>1</v>
      </c>
      <c r="R36" s="2">
        <v>1</v>
      </c>
      <c r="S36" s="2">
        <v>1</v>
      </c>
      <c r="T36" s="2">
        <v>1</v>
      </c>
      <c r="U36" s="2">
        <v>1</v>
      </c>
      <c r="V36" s="2">
        <v>1</v>
      </c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4">
        <v>1</v>
      </c>
      <c r="AK36" s="2">
        <v>1</v>
      </c>
      <c r="AL36" s="24">
        <v>1</v>
      </c>
      <c r="AM36" s="2">
        <v>1</v>
      </c>
      <c r="AN36" s="2">
        <v>1</v>
      </c>
      <c r="AO36" s="2">
        <v>1</v>
      </c>
      <c r="AP36" s="2">
        <v>1</v>
      </c>
      <c r="AQ36" s="2">
        <v>1</v>
      </c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1:56" ht="15.75">
      <c r="A37" s="21" t="s">
        <v>123</v>
      </c>
      <c r="B37" s="27"/>
      <c r="C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4">
        <v>0</v>
      </c>
      <c r="AK37" s="2">
        <v>0</v>
      </c>
      <c r="AL37" s="24">
        <v>0</v>
      </c>
      <c r="AM37" s="2">
        <v>0</v>
      </c>
      <c r="AN37" s="2">
        <v>0</v>
      </c>
      <c r="AO37" s="2">
        <v>0</v>
      </c>
      <c r="AP37" s="2">
        <v>0</v>
      </c>
      <c r="AQ37" s="2">
        <v>1</v>
      </c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</row>
    <row r="38" spans="1:56" ht="15.75">
      <c r="A38" s="21" t="s">
        <v>124</v>
      </c>
      <c r="B38" s="27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4"/>
      <c r="AK38" s="2"/>
      <c r="AL38" s="24"/>
      <c r="AM38" s="2"/>
      <c r="AN38" s="2"/>
      <c r="AO38" s="2"/>
      <c r="AP38" s="2"/>
      <c r="AQ38" s="2">
        <f>4</f>
        <v>4</v>
      </c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</row>
    <row r="39" spans="1:56" ht="15.75">
      <c r="A39" s="21" t="s">
        <v>125</v>
      </c>
      <c r="B39" s="27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4"/>
      <c r="AK39" s="2"/>
      <c r="AL39" s="24"/>
      <c r="AM39" s="2"/>
      <c r="AN39" s="2"/>
      <c r="AO39" s="2"/>
      <c r="AP39" s="2"/>
      <c r="AQ39" s="2">
        <f>5</f>
        <v>5</v>
      </c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1:56" ht="15.75">
      <c r="A40" s="21" t="s">
        <v>126</v>
      </c>
      <c r="B40" s="27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4"/>
      <c r="AK40" s="2"/>
      <c r="AL40" s="24"/>
      <c r="AM40" s="2"/>
      <c r="AN40" s="2"/>
      <c r="AO40" s="2"/>
      <c r="AP40" s="2"/>
      <c r="AQ40" s="2">
        <f>3</f>
        <v>3</v>
      </c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</row>
    <row r="41" spans="1:56" ht="15.75">
      <c r="A41" s="21" t="s">
        <v>127</v>
      </c>
      <c r="B41" s="27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4"/>
      <c r="AK41" s="2"/>
      <c r="AL41" s="24"/>
      <c r="AM41" s="2"/>
      <c r="AN41" s="2"/>
      <c r="AO41" s="2"/>
      <c r="AP41" s="2"/>
      <c r="AQ41" s="2">
        <f>4</f>
        <v>4</v>
      </c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</row>
    <row r="42" spans="1:56" ht="15.75">
      <c r="A42" s="21" t="s">
        <v>128</v>
      </c>
      <c r="B42" s="27"/>
      <c r="C42" s="2" t="s">
        <v>129</v>
      </c>
      <c r="D42" s="2" t="s">
        <v>129</v>
      </c>
      <c r="E42" s="2" t="s">
        <v>129</v>
      </c>
      <c r="F42" s="2" t="s">
        <v>129</v>
      </c>
      <c r="G42" s="2" t="s">
        <v>129</v>
      </c>
      <c r="H42" s="2" t="s">
        <v>129</v>
      </c>
      <c r="I42" s="2" t="s">
        <v>129</v>
      </c>
      <c r="J42" s="2" t="s">
        <v>129</v>
      </c>
      <c r="K42" s="2" t="s">
        <v>129</v>
      </c>
      <c r="L42" s="2" t="s">
        <v>129</v>
      </c>
      <c r="M42" s="2" t="s">
        <v>129</v>
      </c>
      <c r="N42" s="2" t="s">
        <v>129</v>
      </c>
      <c r="O42" s="2" t="s">
        <v>129</v>
      </c>
      <c r="P42" s="2" t="s">
        <v>129</v>
      </c>
      <c r="Q42" s="2" t="s">
        <v>129</v>
      </c>
      <c r="R42" s="2" t="s">
        <v>129</v>
      </c>
      <c r="S42" s="2" t="s">
        <v>129</v>
      </c>
      <c r="T42" s="2" t="s">
        <v>129</v>
      </c>
      <c r="U42" s="2" t="s">
        <v>129</v>
      </c>
      <c r="V42" s="2" t="s">
        <v>129</v>
      </c>
      <c r="W42" s="2" t="s">
        <v>129</v>
      </c>
      <c r="X42" s="2" t="s">
        <v>129</v>
      </c>
      <c r="Y42" s="2" t="s">
        <v>129</v>
      </c>
      <c r="Z42" s="2" t="s">
        <v>129</v>
      </c>
      <c r="AA42" s="2" t="s">
        <v>129</v>
      </c>
      <c r="AB42" s="2" t="s">
        <v>129</v>
      </c>
      <c r="AC42" s="2" t="s">
        <v>129</v>
      </c>
      <c r="AD42" s="2" t="s">
        <v>129</v>
      </c>
      <c r="AE42" s="2" t="s">
        <v>129</v>
      </c>
      <c r="AF42" s="2" t="s">
        <v>129</v>
      </c>
      <c r="AG42" s="2" t="s">
        <v>129</v>
      </c>
      <c r="AH42" s="2" t="s">
        <v>129</v>
      </c>
      <c r="AI42" s="2" t="s">
        <v>129</v>
      </c>
      <c r="AJ42" s="2" t="s">
        <v>129</v>
      </c>
      <c r="AK42" s="2" t="s">
        <v>129</v>
      </c>
      <c r="AL42" s="2" t="s">
        <v>129</v>
      </c>
      <c r="AM42" s="2" t="s">
        <v>129</v>
      </c>
      <c r="AN42" s="2" t="s">
        <v>129</v>
      </c>
      <c r="AO42" s="2" t="s">
        <v>130</v>
      </c>
      <c r="AP42" s="2" t="s">
        <v>129</v>
      </c>
      <c r="AQ42" s="2" t="s">
        <v>129</v>
      </c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</row>
    <row r="43" spans="1:56" ht="15.75">
      <c r="A43" s="21" t="s">
        <v>131</v>
      </c>
      <c r="B43" s="27" t="s">
        <v>132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">
        <v>2.57</v>
      </c>
      <c r="O43" s="2">
        <v>3</v>
      </c>
      <c r="P43" s="2">
        <v>2.83</v>
      </c>
      <c r="Q43" s="28"/>
      <c r="R43" s="2">
        <v>3.3</v>
      </c>
      <c r="S43" s="2">
        <v>3.05</v>
      </c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">
        <v>2.9</v>
      </c>
      <c r="AL43" s="2">
        <v>3</v>
      </c>
      <c r="AM43" s="28"/>
      <c r="AN43" s="28"/>
      <c r="AO43" s="2">
        <v>5</v>
      </c>
      <c r="AP43" s="28"/>
      <c r="AQ43" s="28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</row>
    <row r="44" spans="1:56" ht="15.75">
      <c r="A44" s="21" t="s">
        <v>133</v>
      </c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">
        <v>50</v>
      </c>
      <c r="O44" s="2">
        <v>50</v>
      </c>
      <c r="P44" s="2">
        <v>9</v>
      </c>
      <c r="Q44" s="28"/>
      <c r="R44" s="2">
        <v>3</v>
      </c>
      <c r="S44" s="2">
        <v>9</v>
      </c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">
        <v>11</v>
      </c>
      <c r="AL44" s="2">
        <v>9</v>
      </c>
      <c r="AM44" s="28"/>
      <c r="AN44" s="28"/>
      <c r="AO44" s="28"/>
      <c r="AP44" s="28"/>
      <c r="AQ44" s="28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</row>
    <row r="45" spans="1:56" ht="15.75">
      <c r="A45" s="21" t="s">
        <v>134</v>
      </c>
      <c r="B45" s="27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</row>
    <row r="46" spans="1:56" ht="15.75">
      <c r="A46" s="21" t="s">
        <v>135</v>
      </c>
      <c r="B46" s="27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">
        <v>0</v>
      </c>
      <c r="AP46" s="28"/>
      <c r="AQ46" s="28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</row>
    <row r="47" spans="1:56" s="20" customFormat="1" ht="15.75">
      <c r="A47" s="17" t="s">
        <v>136</v>
      </c>
      <c r="B47" s="17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</row>
    <row r="48" spans="1:56" ht="15.75">
      <c r="A48" s="29" t="s">
        <v>137</v>
      </c>
      <c r="B48" s="29"/>
      <c r="C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</row>
    <row r="49" spans="1:56" ht="15.75">
      <c r="A49" s="21" t="s">
        <v>138</v>
      </c>
      <c r="B49" s="21"/>
      <c r="C49" s="2">
        <v>1</v>
      </c>
      <c r="E49" s="2">
        <v>1</v>
      </c>
      <c r="F49" s="2">
        <v>1</v>
      </c>
      <c r="G49" s="2">
        <v>1</v>
      </c>
      <c r="H49" s="2">
        <v>1</v>
      </c>
      <c r="I49" s="2">
        <v>1</v>
      </c>
      <c r="J49" s="2">
        <v>1</v>
      </c>
      <c r="K49" s="2">
        <v>1</v>
      </c>
      <c r="L49" s="2">
        <v>1</v>
      </c>
      <c r="M49" s="2">
        <v>1</v>
      </c>
      <c r="N49" s="2">
        <v>1</v>
      </c>
      <c r="O49" s="2">
        <v>1</v>
      </c>
      <c r="P49" s="2">
        <v>1</v>
      </c>
      <c r="Q49" s="2">
        <v>1</v>
      </c>
      <c r="R49" s="2">
        <v>1</v>
      </c>
      <c r="S49" s="2">
        <v>1</v>
      </c>
      <c r="T49" s="2">
        <v>1</v>
      </c>
      <c r="U49" s="2">
        <v>1</v>
      </c>
      <c r="V49" s="2">
        <v>1</v>
      </c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>
        <v>1</v>
      </c>
      <c r="AK49" s="2">
        <v>1</v>
      </c>
      <c r="AL49" s="2">
        <v>1</v>
      </c>
      <c r="AM49" s="2">
        <v>1</v>
      </c>
      <c r="AN49" s="2">
        <v>1</v>
      </c>
      <c r="AO49" s="2">
        <v>1</v>
      </c>
      <c r="AP49" s="2">
        <v>1</v>
      </c>
      <c r="AQ49" s="2">
        <v>1</v>
      </c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</row>
    <row r="50" spans="1:56" ht="15.75">
      <c r="A50" s="21" t="s">
        <v>139</v>
      </c>
      <c r="B50" s="21"/>
      <c r="C50" s="2" t="s">
        <v>140</v>
      </c>
      <c r="E50" s="2" t="s">
        <v>140</v>
      </c>
      <c r="F50" s="2" t="s">
        <v>100</v>
      </c>
      <c r="G50" s="2" t="s">
        <v>140</v>
      </c>
      <c r="H50" s="2" t="s">
        <v>100</v>
      </c>
      <c r="I50" s="2" t="s">
        <v>101</v>
      </c>
      <c r="J50" s="2" t="s">
        <v>140</v>
      </c>
      <c r="K50" s="2" t="s">
        <v>100</v>
      </c>
      <c r="L50" s="2" t="s">
        <v>101</v>
      </c>
      <c r="M50" s="2" t="s">
        <v>102</v>
      </c>
      <c r="N50" s="22" t="s">
        <v>100</v>
      </c>
      <c r="O50" s="22" t="s">
        <v>100</v>
      </c>
      <c r="P50" s="22" t="s">
        <v>100</v>
      </c>
      <c r="Q50" s="22" t="s">
        <v>140</v>
      </c>
      <c r="R50" s="22" t="s">
        <v>140</v>
      </c>
      <c r="S50" s="2" t="s">
        <v>140</v>
      </c>
      <c r="T50" s="2" t="s">
        <v>140</v>
      </c>
      <c r="U50" s="2" t="s">
        <v>140</v>
      </c>
      <c r="V50" s="2" t="s">
        <v>101</v>
      </c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 t="s">
        <v>102</v>
      </c>
      <c r="AK50" s="2" t="s">
        <v>100</v>
      </c>
      <c r="AL50" s="2" t="s">
        <v>140</v>
      </c>
      <c r="AM50" s="2" t="s">
        <v>140</v>
      </c>
      <c r="AN50" s="2" t="s">
        <v>140</v>
      </c>
      <c r="AO50" s="2" t="s">
        <v>140</v>
      </c>
      <c r="AP50" s="2" t="s">
        <v>140</v>
      </c>
      <c r="AQ50" s="2" t="s">
        <v>140</v>
      </c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</row>
    <row r="51" spans="1:56" ht="15.75">
      <c r="A51" s="21" t="s">
        <v>141</v>
      </c>
      <c r="B51" s="21"/>
      <c r="C51" s="30" t="s">
        <v>142</v>
      </c>
      <c r="D51" s="30"/>
      <c r="E51" s="30" t="s">
        <v>143</v>
      </c>
      <c r="F51" s="30" t="s">
        <v>144</v>
      </c>
      <c r="G51" s="30">
        <v>0.6</v>
      </c>
      <c r="H51" s="30" t="s">
        <v>145</v>
      </c>
      <c r="I51" s="30">
        <v>0.6666666666666666</v>
      </c>
      <c r="J51" s="30">
        <v>0.8</v>
      </c>
      <c r="K51" s="30">
        <v>0.6666666666666666</v>
      </c>
      <c r="L51" s="30">
        <v>0.6</v>
      </c>
      <c r="M51" s="30">
        <v>0.5</v>
      </c>
      <c r="N51" s="30" t="s">
        <v>146</v>
      </c>
      <c r="O51" s="30" t="s">
        <v>145</v>
      </c>
      <c r="P51" s="30" t="s">
        <v>144</v>
      </c>
      <c r="Q51" s="30" t="s">
        <v>142</v>
      </c>
      <c r="R51" s="30" t="s">
        <v>144</v>
      </c>
      <c r="S51" s="30" t="s">
        <v>146</v>
      </c>
      <c r="T51" s="30" t="s">
        <v>145</v>
      </c>
      <c r="U51" s="30" t="s">
        <v>142</v>
      </c>
      <c r="V51" s="30">
        <v>0.5</v>
      </c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1">
        <v>0.8</v>
      </c>
      <c r="AK51" s="31">
        <v>0.75</v>
      </c>
      <c r="AL51" s="31">
        <v>0.6</v>
      </c>
      <c r="AM51" s="31">
        <v>0.6666666666666666</v>
      </c>
      <c r="AN51" s="31">
        <v>0.6666666666666666</v>
      </c>
      <c r="AO51" s="31">
        <v>0.6666666666666666</v>
      </c>
      <c r="AP51" s="31">
        <v>0.6666666666666666</v>
      </c>
      <c r="AQ51" s="30" t="s">
        <v>142</v>
      </c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</row>
    <row r="52" spans="1:56" ht="15.75">
      <c r="A52" s="21" t="s">
        <v>147</v>
      </c>
      <c r="B52" s="21"/>
      <c r="C52" s="2">
        <v>64800</v>
      </c>
      <c r="E52" s="2">
        <v>64800</v>
      </c>
      <c r="F52" s="2">
        <v>64800</v>
      </c>
      <c r="G52" s="2">
        <v>64800</v>
      </c>
      <c r="H52" s="2">
        <v>64800</v>
      </c>
      <c r="I52" s="2">
        <v>64800</v>
      </c>
      <c r="J52" s="2">
        <v>64800</v>
      </c>
      <c r="K52" s="2">
        <v>64800</v>
      </c>
      <c r="L52" s="2">
        <v>64800</v>
      </c>
      <c r="M52" s="2">
        <v>64800</v>
      </c>
      <c r="N52" s="2">
        <v>64800</v>
      </c>
      <c r="O52" s="2">
        <v>64800</v>
      </c>
      <c r="P52" s="2">
        <v>64800</v>
      </c>
      <c r="Q52" s="2">
        <v>64800</v>
      </c>
      <c r="R52" s="2">
        <v>64800</v>
      </c>
      <c r="S52" s="2">
        <v>64800</v>
      </c>
      <c r="T52" s="2">
        <v>64800</v>
      </c>
      <c r="U52" s="2">
        <v>64800</v>
      </c>
      <c r="V52" s="2">
        <v>64800</v>
      </c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3">
        <v>16200</v>
      </c>
      <c r="AK52" s="23">
        <v>64800</v>
      </c>
      <c r="AL52" s="23">
        <v>64800</v>
      </c>
      <c r="AM52" s="2">
        <v>64800</v>
      </c>
      <c r="AN52" s="2">
        <v>64800</v>
      </c>
      <c r="AO52" s="2">
        <v>64800</v>
      </c>
      <c r="AP52" s="2">
        <v>64800</v>
      </c>
      <c r="AQ52" s="2">
        <v>64800</v>
      </c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</row>
    <row r="53" spans="1:56" ht="15" customHeight="1">
      <c r="A53" s="21" t="s">
        <v>148</v>
      </c>
      <c r="B53" s="21"/>
      <c r="C53" s="2" t="s">
        <v>89</v>
      </c>
      <c r="E53" s="2" t="s">
        <v>89</v>
      </c>
      <c r="F53" s="22" t="s">
        <v>89</v>
      </c>
      <c r="G53" s="22" t="s">
        <v>89</v>
      </c>
      <c r="H53" s="22" t="s">
        <v>89</v>
      </c>
      <c r="I53" s="22" t="s">
        <v>89</v>
      </c>
      <c r="J53" s="22" t="s">
        <v>89</v>
      </c>
      <c r="K53" s="22" t="s">
        <v>89</v>
      </c>
      <c r="L53" s="22" t="s">
        <v>89</v>
      </c>
      <c r="M53" s="22" t="s">
        <v>89</v>
      </c>
      <c r="N53" s="22" t="s">
        <v>89</v>
      </c>
      <c r="O53" s="22" t="s">
        <v>89</v>
      </c>
      <c r="P53" s="22" t="s">
        <v>89</v>
      </c>
      <c r="Q53" s="22" t="s">
        <v>89</v>
      </c>
      <c r="R53" s="22" t="s">
        <v>89</v>
      </c>
      <c r="S53" s="2" t="s">
        <v>89</v>
      </c>
      <c r="T53" s="2" t="s">
        <v>89</v>
      </c>
      <c r="U53" s="32" t="s">
        <v>90</v>
      </c>
      <c r="V53" s="32" t="s">
        <v>89</v>
      </c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3" t="s">
        <v>89</v>
      </c>
      <c r="AK53" s="23" t="s">
        <v>89</v>
      </c>
      <c r="AL53" s="23" t="s">
        <v>89</v>
      </c>
      <c r="AM53" s="32" t="s">
        <v>89</v>
      </c>
      <c r="AN53" s="32" t="s">
        <v>89</v>
      </c>
      <c r="AO53" s="32" t="s">
        <v>89</v>
      </c>
      <c r="AP53" s="32" t="s">
        <v>89</v>
      </c>
      <c r="AQ53" s="2" t="s">
        <v>89</v>
      </c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</row>
    <row r="54" spans="1:56" ht="18.75" customHeight="1">
      <c r="A54" s="21" t="s">
        <v>149</v>
      </c>
      <c r="B54" s="21" t="s">
        <v>150</v>
      </c>
      <c r="C54" s="2">
        <v>202</v>
      </c>
      <c r="E54" s="2">
        <v>202</v>
      </c>
      <c r="F54" s="2">
        <v>50</v>
      </c>
      <c r="G54" s="2">
        <v>50</v>
      </c>
      <c r="H54" s="2">
        <v>50</v>
      </c>
      <c r="I54" s="2">
        <v>50</v>
      </c>
      <c r="J54" s="2">
        <v>168</v>
      </c>
      <c r="K54" s="2">
        <v>31</v>
      </c>
      <c r="L54" s="2">
        <v>93</v>
      </c>
      <c r="M54" s="2">
        <v>48</v>
      </c>
      <c r="N54" s="2">
        <v>151</v>
      </c>
      <c r="O54" s="2">
        <v>151</v>
      </c>
      <c r="P54" s="2">
        <v>151</v>
      </c>
      <c r="Q54" s="2">
        <v>200</v>
      </c>
      <c r="R54" s="2">
        <v>200</v>
      </c>
      <c r="S54" s="2">
        <v>64</v>
      </c>
      <c r="T54" s="2">
        <v>61</v>
      </c>
      <c r="U54" s="2">
        <v>202</v>
      </c>
      <c r="V54" s="2">
        <v>3</v>
      </c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>
        <v>204</v>
      </c>
      <c r="AK54" s="2">
        <v>119</v>
      </c>
      <c r="AL54" s="2">
        <v>162</v>
      </c>
      <c r="AM54" s="2">
        <v>202</v>
      </c>
      <c r="AN54" s="2">
        <v>66</v>
      </c>
      <c r="AO54" s="2">
        <v>202</v>
      </c>
      <c r="AP54" s="2">
        <v>66</v>
      </c>
      <c r="AQ54" s="2">
        <v>202</v>
      </c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</row>
    <row r="55" spans="1:56" ht="15.75">
      <c r="A55" s="21" t="s">
        <v>151</v>
      </c>
      <c r="B55" s="21" t="s">
        <v>152</v>
      </c>
      <c r="C55" s="2">
        <v>202</v>
      </c>
      <c r="E55" s="2">
        <v>202</v>
      </c>
      <c r="F55" s="2">
        <v>50</v>
      </c>
      <c r="G55" s="2">
        <v>50</v>
      </c>
      <c r="H55" s="2">
        <v>50</v>
      </c>
      <c r="I55" s="2">
        <v>50</v>
      </c>
      <c r="J55" s="2">
        <v>168</v>
      </c>
      <c r="K55" s="2">
        <v>31</v>
      </c>
      <c r="L55" s="2">
        <v>93</v>
      </c>
      <c r="M55" s="2">
        <v>48</v>
      </c>
      <c r="N55" s="2">
        <v>151</v>
      </c>
      <c r="O55" s="2">
        <v>151</v>
      </c>
      <c r="P55" s="2">
        <v>151</v>
      </c>
      <c r="Q55" s="2">
        <v>200</v>
      </c>
      <c r="R55" s="2">
        <v>200</v>
      </c>
      <c r="S55" s="2">
        <v>64</v>
      </c>
      <c r="T55" s="2">
        <v>61</v>
      </c>
      <c r="U55" s="2">
        <v>202</v>
      </c>
      <c r="V55" s="2">
        <v>3</v>
      </c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>
        <v>204</v>
      </c>
      <c r="AK55" s="2">
        <v>119</v>
      </c>
      <c r="AL55" s="2">
        <v>162</v>
      </c>
      <c r="AM55" s="2">
        <v>202</v>
      </c>
      <c r="AN55" s="2">
        <v>66</v>
      </c>
      <c r="AO55" s="2">
        <v>202</v>
      </c>
      <c r="AP55" s="2">
        <v>66</v>
      </c>
      <c r="AQ55" s="2">
        <v>202</v>
      </c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</row>
    <row r="56" spans="1:56" ht="15.75" hidden="1">
      <c r="A56" s="21" t="s">
        <v>153</v>
      </c>
      <c r="B56" s="21" t="s">
        <v>154</v>
      </c>
      <c r="C56" s="2">
        <v>3</v>
      </c>
      <c r="E56" s="2">
        <v>3</v>
      </c>
      <c r="F56" s="2">
        <v>1</v>
      </c>
      <c r="G56" s="2">
        <v>3</v>
      </c>
      <c r="H56" s="2">
        <v>3</v>
      </c>
      <c r="I56" s="2">
        <v>3</v>
      </c>
      <c r="J56" s="2">
        <v>3</v>
      </c>
      <c r="K56" s="2">
        <v>3</v>
      </c>
      <c r="L56" s="2">
        <v>3</v>
      </c>
      <c r="M56" s="2">
        <v>3</v>
      </c>
      <c r="N56" s="2">
        <v>3</v>
      </c>
      <c r="O56" s="2">
        <v>3</v>
      </c>
      <c r="P56" s="2">
        <v>3</v>
      </c>
      <c r="Q56" s="2">
        <v>3</v>
      </c>
      <c r="R56" s="2">
        <v>3</v>
      </c>
      <c r="S56" s="2">
        <v>1</v>
      </c>
      <c r="T56" s="2">
        <v>1</v>
      </c>
      <c r="U56" s="2">
        <v>3</v>
      </c>
      <c r="V56" s="2">
        <v>1</v>
      </c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>
        <v>3</v>
      </c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</row>
    <row r="57" spans="1:56" ht="15.75" hidden="1">
      <c r="A57" s="21" t="s">
        <v>155</v>
      </c>
      <c r="B57" s="21" t="s">
        <v>154</v>
      </c>
      <c r="C57" s="2">
        <v>1</v>
      </c>
      <c r="E57" s="2">
        <v>1</v>
      </c>
      <c r="F57" s="2">
        <v>1</v>
      </c>
      <c r="G57" s="2">
        <v>1</v>
      </c>
      <c r="H57" s="2">
        <v>2</v>
      </c>
      <c r="I57" s="2">
        <v>1</v>
      </c>
      <c r="J57" s="2">
        <v>1</v>
      </c>
      <c r="K57" s="2">
        <v>1</v>
      </c>
      <c r="L57" s="2">
        <v>1</v>
      </c>
      <c r="M57" s="2">
        <v>1</v>
      </c>
      <c r="N57" s="2">
        <v>1</v>
      </c>
      <c r="O57" s="2">
        <v>1</v>
      </c>
      <c r="P57" s="2">
        <v>1</v>
      </c>
      <c r="Q57" s="2">
        <v>1</v>
      </c>
      <c r="R57" s="2">
        <v>1</v>
      </c>
      <c r="S57" s="2">
        <v>1</v>
      </c>
      <c r="T57" s="2">
        <v>1</v>
      </c>
      <c r="U57" s="2">
        <v>1</v>
      </c>
      <c r="V57" s="2">
        <v>1</v>
      </c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>
        <v>1</v>
      </c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</row>
    <row r="58" spans="1:56" ht="15.75">
      <c r="A58" s="21" t="s">
        <v>156</v>
      </c>
      <c r="B58" s="21"/>
      <c r="C58" s="2">
        <v>1</v>
      </c>
      <c r="E58" s="2">
        <v>1</v>
      </c>
      <c r="F58" s="2">
        <v>1</v>
      </c>
      <c r="G58" s="2">
        <v>1</v>
      </c>
      <c r="H58" s="2">
        <v>1</v>
      </c>
      <c r="I58" s="2">
        <v>1</v>
      </c>
      <c r="J58" s="2">
        <v>1</v>
      </c>
      <c r="K58" s="2">
        <v>1</v>
      </c>
      <c r="L58" s="2">
        <v>1</v>
      </c>
      <c r="M58" s="2">
        <v>1</v>
      </c>
      <c r="N58" s="2">
        <v>1</v>
      </c>
      <c r="O58" s="2">
        <v>1</v>
      </c>
      <c r="P58" s="2">
        <v>1</v>
      </c>
      <c r="Q58" s="2">
        <v>1</v>
      </c>
      <c r="R58" s="2">
        <v>1</v>
      </c>
      <c r="S58" s="2">
        <v>1</v>
      </c>
      <c r="T58" s="2">
        <v>1</v>
      </c>
      <c r="U58" s="2">
        <v>1</v>
      </c>
      <c r="V58" s="2">
        <v>1</v>
      </c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>
        <v>1</v>
      </c>
      <c r="AK58" s="2">
        <v>1</v>
      </c>
      <c r="AL58" s="2">
        <v>1</v>
      </c>
      <c r="AM58" s="2">
        <v>1</v>
      </c>
      <c r="AN58" s="2">
        <v>1</v>
      </c>
      <c r="AO58" s="2">
        <v>1</v>
      </c>
      <c r="AP58" s="2">
        <v>1</v>
      </c>
      <c r="AQ58" s="2">
        <v>1</v>
      </c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</row>
    <row r="59" spans="1:56" ht="15.75">
      <c r="A59" s="21" t="s">
        <v>157</v>
      </c>
      <c r="B59" s="21"/>
      <c r="C59" s="2">
        <v>0</v>
      </c>
      <c r="E59" s="2">
        <v>0</v>
      </c>
      <c r="F59" s="2">
        <v>0</v>
      </c>
      <c r="G59" s="2">
        <v>0</v>
      </c>
      <c r="H59" s="2">
        <v>1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0</v>
      </c>
      <c r="AQ59" s="2">
        <v>0</v>
      </c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</row>
    <row r="60" spans="1:56" ht="15.75">
      <c r="A60" s="21" t="s">
        <v>158</v>
      </c>
      <c r="B60" s="21"/>
      <c r="C60" s="2">
        <f>C56</f>
        <v>3</v>
      </c>
      <c r="E60" s="2">
        <v>3</v>
      </c>
      <c r="F60" s="2">
        <f aca="true" t="shared" si="4" ref="F60:V60">IF(F59=1,F57,F56)</f>
        <v>1</v>
      </c>
      <c r="G60" s="2">
        <f t="shared" si="4"/>
        <v>3</v>
      </c>
      <c r="H60" s="2">
        <f t="shared" si="4"/>
        <v>2</v>
      </c>
      <c r="I60" s="2">
        <f t="shared" si="4"/>
        <v>3</v>
      </c>
      <c r="J60" s="2">
        <f t="shared" si="4"/>
        <v>3</v>
      </c>
      <c r="K60" s="2">
        <f t="shared" si="4"/>
        <v>3</v>
      </c>
      <c r="L60" s="2">
        <f t="shared" si="4"/>
        <v>3</v>
      </c>
      <c r="M60" s="2">
        <f t="shared" si="4"/>
        <v>3</v>
      </c>
      <c r="N60" s="2">
        <f t="shared" si="4"/>
        <v>3</v>
      </c>
      <c r="O60" s="2">
        <f t="shared" si="4"/>
        <v>3</v>
      </c>
      <c r="P60" s="2">
        <f t="shared" si="4"/>
        <v>3</v>
      </c>
      <c r="Q60" s="2">
        <f t="shared" si="4"/>
        <v>3</v>
      </c>
      <c r="R60" s="2">
        <f t="shared" si="4"/>
        <v>3</v>
      </c>
      <c r="S60" s="2">
        <f t="shared" si="4"/>
        <v>1</v>
      </c>
      <c r="T60" s="2">
        <f t="shared" si="4"/>
        <v>1</v>
      </c>
      <c r="U60" s="2">
        <f t="shared" si="4"/>
        <v>3</v>
      </c>
      <c r="V60" s="2">
        <f t="shared" si="4"/>
        <v>1</v>
      </c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>
        <v>0</v>
      </c>
      <c r="AK60" s="2">
        <v>3</v>
      </c>
      <c r="AL60" s="2">
        <v>3</v>
      </c>
      <c r="AM60" s="2">
        <v>3</v>
      </c>
      <c r="AN60" s="2">
        <v>1</v>
      </c>
      <c r="AO60" s="2">
        <v>3</v>
      </c>
      <c r="AP60" s="2">
        <v>1</v>
      </c>
      <c r="AQ60" s="2">
        <f>AQ56</f>
        <v>3</v>
      </c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</row>
    <row r="61" spans="1:56" s="20" customFormat="1" ht="15.75">
      <c r="A61" s="33" t="s">
        <v>159</v>
      </c>
      <c r="B61" s="17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</row>
    <row r="62" spans="1:56" ht="15.75">
      <c r="A62" s="21" t="s">
        <v>160</v>
      </c>
      <c r="B62" s="21"/>
      <c r="C62" s="2" t="s">
        <v>161</v>
      </c>
      <c r="E62" s="2" t="s">
        <v>161</v>
      </c>
      <c r="F62" s="2" t="s">
        <v>161</v>
      </c>
      <c r="G62" s="2" t="s">
        <v>161</v>
      </c>
      <c r="H62" s="2" t="s">
        <v>161</v>
      </c>
      <c r="I62" s="2" t="s">
        <v>161</v>
      </c>
      <c r="J62" s="2" t="s">
        <v>162</v>
      </c>
      <c r="K62" s="2" t="s">
        <v>162</v>
      </c>
      <c r="L62" s="2" t="s">
        <v>162</v>
      </c>
      <c r="M62" s="2" t="s">
        <v>162</v>
      </c>
      <c r="N62" s="2" t="s">
        <v>161</v>
      </c>
      <c r="O62" s="2" t="s">
        <v>161</v>
      </c>
      <c r="P62" s="2" t="s">
        <v>161</v>
      </c>
      <c r="Q62" s="2" t="s">
        <v>161</v>
      </c>
      <c r="R62" s="2" t="s">
        <v>161</v>
      </c>
      <c r="S62" s="2" t="s">
        <v>161</v>
      </c>
      <c r="T62" s="2" t="s">
        <v>161</v>
      </c>
      <c r="U62" s="2" t="s">
        <v>161</v>
      </c>
      <c r="V62" s="2" t="s">
        <v>161</v>
      </c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 t="s">
        <v>161</v>
      </c>
      <c r="AK62" s="2" t="s">
        <v>163</v>
      </c>
      <c r="AL62" s="2" t="s">
        <v>161</v>
      </c>
      <c r="AM62" s="2" t="s">
        <v>161</v>
      </c>
      <c r="AN62" s="2" t="s">
        <v>161</v>
      </c>
      <c r="AO62" s="2" t="s">
        <v>161</v>
      </c>
      <c r="AP62" s="2" t="s">
        <v>161</v>
      </c>
      <c r="AQ62" s="2" t="s">
        <v>161</v>
      </c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</row>
    <row r="63" spans="1:56" ht="15.75">
      <c r="A63" s="21" t="s">
        <v>164</v>
      </c>
      <c r="B63" s="21"/>
      <c r="C63" s="2" t="s">
        <v>90</v>
      </c>
      <c r="E63" s="2" t="s">
        <v>90</v>
      </c>
      <c r="F63" s="2" t="s">
        <v>90</v>
      </c>
      <c r="G63" s="2" t="s">
        <v>90</v>
      </c>
      <c r="H63" s="2" t="s">
        <v>90</v>
      </c>
      <c r="I63" s="2" t="s">
        <v>90</v>
      </c>
      <c r="J63" s="2" t="s">
        <v>90</v>
      </c>
      <c r="K63" s="2" t="s">
        <v>90</v>
      </c>
      <c r="L63" s="2" t="s">
        <v>90</v>
      </c>
      <c r="M63" s="2" t="s">
        <v>90</v>
      </c>
      <c r="N63" s="2" t="s">
        <v>90</v>
      </c>
      <c r="O63" s="2" t="s">
        <v>90</v>
      </c>
      <c r="P63" s="2" t="s">
        <v>90</v>
      </c>
      <c r="Q63" s="2" t="s">
        <v>90</v>
      </c>
      <c r="R63" s="2" t="s">
        <v>90</v>
      </c>
      <c r="S63" s="2" t="s">
        <v>90</v>
      </c>
      <c r="T63" s="2" t="s">
        <v>90</v>
      </c>
      <c r="U63" s="2" t="s">
        <v>90</v>
      </c>
      <c r="V63" s="2" t="s">
        <v>165</v>
      </c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3" t="s">
        <v>90</v>
      </c>
      <c r="AK63" s="23" t="s">
        <v>90</v>
      </c>
      <c r="AL63" s="23" t="s">
        <v>90</v>
      </c>
      <c r="AM63" s="2" t="s">
        <v>165</v>
      </c>
      <c r="AN63" s="2" t="s">
        <v>165</v>
      </c>
      <c r="AO63" s="2" t="s">
        <v>165</v>
      </c>
      <c r="AP63" s="2" t="s">
        <v>165</v>
      </c>
      <c r="AQ63" s="2" t="s">
        <v>90</v>
      </c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</row>
    <row r="64" spans="1:56" ht="15.75">
      <c r="A64" s="21" t="s">
        <v>166</v>
      </c>
      <c r="B64" s="21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">
        <f>256*8192</f>
        <v>2097152</v>
      </c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">
        <f>256*8192</f>
        <v>2097152</v>
      </c>
      <c r="AN64" s="2">
        <f>256*8192</f>
        <v>2097152</v>
      </c>
      <c r="AO64" s="2">
        <f>256*8192</f>
        <v>2097152</v>
      </c>
      <c r="AP64" s="2">
        <f>256*8192</f>
        <v>2097152</v>
      </c>
      <c r="AQ64" s="26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</row>
    <row r="65" spans="1:56" ht="15.75">
      <c r="A65" s="21"/>
      <c r="B65" s="21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</row>
    <row r="66" spans="1:56" ht="15.75">
      <c r="A66" s="21" t="s">
        <v>167</v>
      </c>
      <c r="B66" s="21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">
        <v>111647</v>
      </c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6"/>
      <c r="AK66" s="26"/>
      <c r="AL66" s="26"/>
      <c r="AM66" s="2">
        <v>670978</v>
      </c>
      <c r="AN66" s="2">
        <v>671680</v>
      </c>
      <c r="AO66" s="2">
        <v>670978</v>
      </c>
      <c r="AP66" s="2">
        <v>671680</v>
      </c>
      <c r="AQ66" s="26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</row>
    <row r="67" spans="1:56" ht="17.25" customHeight="1">
      <c r="A67" s="34" t="s">
        <v>84</v>
      </c>
      <c r="B67" s="21" t="s">
        <v>168</v>
      </c>
      <c r="C67" s="24" t="s">
        <v>90</v>
      </c>
      <c r="D67" s="24"/>
      <c r="E67" s="24" t="s">
        <v>90</v>
      </c>
      <c r="F67" s="24" t="s">
        <v>90</v>
      </c>
      <c r="G67" s="24" t="s">
        <v>90</v>
      </c>
      <c r="H67" s="24" t="s">
        <v>90</v>
      </c>
      <c r="I67" s="24" t="s">
        <v>90</v>
      </c>
      <c r="J67" s="24" t="s">
        <v>90</v>
      </c>
      <c r="K67" s="24" t="s">
        <v>90</v>
      </c>
      <c r="L67" s="24" t="s">
        <v>90</v>
      </c>
      <c r="M67" s="24" t="s">
        <v>90</v>
      </c>
      <c r="N67" s="24" t="s">
        <v>90</v>
      </c>
      <c r="O67" s="24" t="s">
        <v>90</v>
      </c>
      <c r="P67" s="24" t="s">
        <v>90</v>
      </c>
      <c r="Q67" s="24" t="s">
        <v>90</v>
      </c>
      <c r="R67" s="24" t="s">
        <v>90</v>
      </c>
      <c r="S67" s="24" t="s">
        <v>90</v>
      </c>
      <c r="T67" s="24" t="s">
        <v>90</v>
      </c>
      <c r="U67" s="24" t="s">
        <v>90</v>
      </c>
      <c r="V67" s="24" t="s">
        <v>90</v>
      </c>
      <c r="W67" s="24"/>
      <c r="X67" s="24"/>
      <c r="Y67" s="24"/>
      <c r="Z67" s="24"/>
      <c r="AA67" s="24"/>
      <c r="AB67" s="24"/>
      <c r="AC67" s="2"/>
      <c r="AD67" s="24"/>
      <c r="AE67" s="24"/>
      <c r="AF67" s="2"/>
      <c r="AG67" s="24"/>
      <c r="AH67" s="24"/>
      <c r="AI67" s="24"/>
      <c r="AJ67" s="24" t="s">
        <v>90</v>
      </c>
      <c r="AK67" s="24" t="s">
        <v>90</v>
      </c>
      <c r="AL67" s="24" t="s">
        <v>90</v>
      </c>
      <c r="AM67" s="35" t="s">
        <v>90</v>
      </c>
      <c r="AN67" s="35" t="s">
        <v>90</v>
      </c>
      <c r="AO67" s="35" t="s">
        <v>90</v>
      </c>
      <c r="AP67" s="35" t="s">
        <v>90</v>
      </c>
      <c r="AQ67" s="24" t="s">
        <v>90</v>
      </c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</row>
    <row r="68" spans="1:56" ht="17.25" customHeight="1">
      <c r="A68" s="34" t="s">
        <v>169</v>
      </c>
      <c r="B68" s="21"/>
      <c r="C68" s="24" t="s">
        <v>90</v>
      </c>
      <c r="D68" s="24"/>
      <c r="E68" s="24" t="s">
        <v>90</v>
      </c>
      <c r="F68" s="24" t="s">
        <v>90</v>
      </c>
      <c r="G68" s="24" t="s">
        <v>90</v>
      </c>
      <c r="H68" s="24" t="s">
        <v>90</v>
      </c>
      <c r="I68" s="24" t="s">
        <v>90</v>
      </c>
      <c r="J68" s="24" t="s">
        <v>90</v>
      </c>
      <c r="K68" s="24" t="s">
        <v>90</v>
      </c>
      <c r="L68" s="24" t="s">
        <v>90</v>
      </c>
      <c r="M68" s="24" t="s">
        <v>90</v>
      </c>
      <c r="N68" s="24" t="s">
        <v>90</v>
      </c>
      <c r="O68" s="24" t="s">
        <v>90</v>
      </c>
      <c r="P68" s="24" t="s">
        <v>90</v>
      </c>
      <c r="Q68" s="24" t="s">
        <v>90</v>
      </c>
      <c r="R68" s="24" t="s">
        <v>90</v>
      </c>
      <c r="S68" s="24" t="s">
        <v>90</v>
      </c>
      <c r="T68" s="24" t="s">
        <v>90</v>
      </c>
      <c r="U68" s="24" t="s">
        <v>90</v>
      </c>
      <c r="V68" s="24" t="s">
        <v>90</v>
      </c>
      <c r="W68" s="24"/>
      <c r="X68" s="24"/>
      <c r="Y68" s="24"/>
      <c r="Z68" s="24"/>
      <c r="AA68" s="24"/>
      <c r="AB68" s="24"/>
      <c r="AC68" s="2"/>
      <c r="AD68" s="24"/>
      <c r="AE68" s="24"/>
      <c r="AF68" s="2"/>
      <c r="AG68" s="24"/>
      <c r="AH68" s="24"/>
      <c r="AI68" s="24"/>
      <c r="AJ68" s="24" t="s">
        <v>90</v>
      </c>
      <c r="AK68" s="24" t="s">
        <v>90</v>
      </c>
      <c r="AL68" s="24" t="s">
        <v>90</v>
      </c>
      <c r="AM68" s="35" t="s">
        <v>90</v>
      </c>
      <c r="AN68" s="35" t="s">
        <v>90</v>
      </c>
      <c r="AO68" s="35" t="s">
        <v>170</v>
      </c>
      <c r="AP68" s="35" t="s">
        <v>90</v>
      </c>
      <c r="AQ68" s="24" t="s">
        <v>90</v>
      </c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</row>
    <row r="69" spans="1:56" ht="17.25" customHeight="1">
      <c r="A69" s="34" t="s">
        <v>171</v>
      </c>
      <c r="B69" s="21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4"/>
      <c r="X69" s="24"/>
      <c r="Y69" s="24"/>
      <c r="Z69" s="24"/>
      <c r="AA69" s="24"/>
      <c r="AB69" s="24"/>
      <c r="AC69" s="2"/>
      <c r="AD69" s="24"/>
      <c r="AE69" s="24"/>
      <c r="AF69" s="2"/>
      <c r="AG69" s="24"/>
      <c r="AH69" s="36"/>
      <c r="AI69" s="24"/>
      <c r="AJ69" s="26"/>
      <c r="AK69" s="26"/>
      <c r="AL69" s="26"/>
      <c r="AM69" s="26"/>
      <c r="AN69" s="26"/>
      <c r="AO69" s="26"/>
      <c r="AP69" s="26"/>
      <c r="AQ69" s="26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</row>
    <row r="70" spans="1:56" s="20" customFormat="1" ht="15.75" hidden="1">
      <c r="A70" s="17" t="s">
        <v>172</v>
      </c>
      <c r="B70" s="17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</row>
    <row r="71" spans="1:56" ht="15.75" hidden="1">
      <c r="A71" s="21" t="s">
        <v>173</v>
      </c>
      <c r="B71" s="37"/>
      <c r="C71" s="2">
        <v>1</v>
      </c>
      <c r="E71" s="2">
        <v>1</v>
      </c>
      <c r="F71" s="2" t="e">
        <f aca="true" t="shared" si="5" ref="F71:V71">VLOOKUP(F13,Np2symbol,2,FALSE)</f>
        <v>#REF!</v>
      </c>
      <c r="G71" s="2" t="e">
        <f t="shared" si="5"/>
        <v>#REF!</v>
      </c>
      <c r="H71" s="2" t="e">
        <f t="shared" si="5"/>
        <v>#REF!</v>
      </c>
      <c r="I71" s="2" t="e">
        <f t="shared" si="5"/>
        <v>#REF!</v>
      </c>
      <c r="J71" s="2" t="e">
        <f t="shared" si="5"/>
        <v>#REF!</v>
      </c>
      <c r="K71" s="2" t="e">
        <f t="shared" si="5"/>
        <v>#REF!</v>
      </c>
      <c r="L71" s="2" t="e">
        <f t="shared" si="5"/>
        <v>#REF!</v>
      </c>
      <c r="M71" s="2" t="e">
        <f t="shared" si="5"/>
        <v>#REF!</v>
      </c>
      <c r="N71" s="2" t="e">
        <f t="shared" si="5"/>
        <v>#REF!</v>
      </c>
      <c r="O71" s="2" t="e">
        <f t="shared" si="5"/>
        <v>#REF!</v>
      </c>
      <c r="P71" s="2" t="e">
        <f t="shared" si="5"/>
        <v>#REF!</v>
      </c>
      <c r="Q71" s="2" t="e">
        <f t="shared" si="5"/>
        <v>#REF!</v>
      </c>
      <c r="R71" s="2" t="e">
        <f t="shared" si="5"/>
        <v>#REF!</v>
      </c>
      <c r="S71" s="2" t="e">
        <f t="shared" si="5"/>
        <v>#REF!</v>
      </c>
      <c r="T71" s="2" t="e">
        <f t="shared" si="5"/>
        <v>#REF!</v>
      </c>
      <c r="U71" s="2" t="e">
        <f t="shared" si="5"/>
        <v>#REF!</v>
      </c>
      <c r="V71" s="2" t="e">
        <f t="shared" si="5"/>
        <v>#REF!</v>
      </c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>
        <v>1</v>
      </c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</row>
    <row r="72" spans="1:56" ht="15.75" hidden="1">
      <c r="A72" s="21" t="s">
        <v>174</v>
      </c>
      <c r="B72" s="21"/>
      <c r="C72" s="2">
        <v>0</v>
      </c>
      <c r="E72" s="2">
        <v>0</v>
      </c>
      <c r="F72" s="2" t="e">
        <f aca="true" t="shared" si="6" ref="F72:V72">IF(F22="PP8",0,VLOOKUP(F13,FCS,VLOOKUP(F14,FCS_PP_subtable,VLOOKUP(F22,FCS_SISOMISO_subtable,VLOOKUP(F16,SISOMISO,2,FALSE),FALSE),FALSE),FALSE))</f>
        <v>#REF!</v>
      </c>
      <c r="G72" s="2">
        <f t="shared" si="6"/>
        <v>0</v>
      </c>
      <c r="H72" s="2" t="e">
        <f t="shared" si="6"/>
        <v>#REF!</v>
      </c>
      <c r="I72" s="2">
        <f t="shared" si="6"/>
        <v>0</v>
      </c>
      <c r="J72" s="2" t="e">
        <f t="shared" si="6"/>
        <v>#REF!</v>
      </c>
      <c r="K72" s="2" t="e">
        <f t="shared" si="6"/>
        <v>#REF!</v>
      </c>
      <c r="L72" s="2" t="e">
        <f t="shared" si="6"/>
        <v>#REF!</v>
      </c>
      <c r="M72" s="2" t="e">
        <f t="shared" si="6"/>
        <v>#REF!</v>
      </c>
      <c r="N72" s="2" t="e">
        <f t="shared" si="6"/>
        <v>#REF!</v>
      </c>
      <c r="O72" s="2" t="e">
        <f t="shared" si="6"/>
        <v>#REF!</v>
      </c>
      <c r="P72" s="2" t="e">
        <f t="shared" si="6"/>
        <v>#REF!</v>
      </c>
      <c r="Q72" s="2" t="e">
        <f t="shared" si="6"/>
        <v>#REF!</v>
      </c>
      <c r="R72" s="2" t="e">
        <f t="shared" si="6"/>
        <v>#REF!</v>
      </c>
      <c r="S72" s="2" t="e">
        <f t="shared" si="6"/>
        <v>#REF!</v>
      </c>
      <c r="T72" s="2" t="e">
        <f t="shared" si="6"/>
        <v>#REF!</v>
      </c>
      <c r="U72" s="2" t="e">
        <f t="shared" si="6"/>
        <v>#REF!</v>
      </c>
      <c r="V72" s="2" t="e">
        <f t="shared" si="6"/>
        <v>#REF!</v>
      </c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>
        <v>0</v>
      </c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</row>
    <row r="73" spans="1:56" ht="15.75" hidden="1">
      <c r="A73" s="21" t="s">
        <v>175</v>
      </c>
      <c r="B73" s="21" t="s">
        <v>176</v>
      </c>
      <c r="C73" s="2">
        <v>202</v>
      </c>
      <c r="E73" s="2">
        <v>202</v>
      </c>
      <c r="F73" s="2">
        <f aca="true" t="shared" si="7" ref="F73:V73">F54/IF(F$59=0,1,F$60)</f>
        <v>50</v>
      </c>
      <c r="G73" s="2">
        <f t="shared" si="7"/>
        <v>50</v>
      </c>
      <c r="H73" s="2">
        <f t="shared" si="7"/>
        <v>25</v>
      </c>
      <c r="I73" s="2">
        <f t="shared" si="7"/>
        <v>50</v>
      </c>
      <c r="J73" s="2">
        <f t="shared" si="7"/>
        <v>168</v>
      </c>
      <c r="K73" s="2">
        <f t="shared" si="7"/>
        <v>31</v>
      </c>
      <c r="L73" s="2">
        <f t="shared" si="7"/>
        <v>93</v>
      </c>
      <c r="M73" s="2">
        <f t="shared" si="7"/>
        <v>48</v>
      </c>
      <c r="N73" s="2">
        <f t="shared" si="7"/>
        <v>151</v>
      </c>
      <c r="O73" s="2">
        <f t="shared" si="7"/>
        <v>151</v>
      </c>
      <c r="P73" s="2">
        <f t="shared" si="7"/>
        <v>151</v>
      </c>
      <c r="Q73" s="2">
        <f t="shared" si="7"/>
        <v>200</v>
      </c>
      <c r="R73" s="2">
        <f t="shared" si="7"/>
        <v>200</v>
      </c>
      <c r="S73" s="2">
        <f t="shared" si="7"/>
        <v>64</v>
      </c>
      <c r="T73" s="2">
        <f t="shared" si="7"/>
        <v>61</v>
      </c>
      <c r="U73" s="2">
        <f t="shared" si="7"/>
        <v>202</v>
      </c>
      <c r="V73" s="2">
        <f t="shared" si="7"/>
        <v>3</v>
      </c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>
        <v>202</v>
      </c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</row>
    <row r="74" spans="1:56" ht="15.75" hidden="1">
      <c r="A74" s="21" t="s">
        <v>177</v>
      </c>
      <c r="B74" s="37"/>
      <c r="C74" s="2">
        <v>22432</v>
      </c>
      <c r="E74" s="2">
        <v>22432</v>
      </c>
      <c r="F74" s="2" t="e">
        <f>F71*VLOOKUP('Single PLP'!F13,Cp2symbol,VLOOKUP('Single PLP'!F16,SISOMISO,2,FALSE),FALSE)</f>
        <v>#REF!</v>
      </c>
      <c r="G74" s="2" t="e">
        <f>G71*VLOOKUP('Single PLP'!G13,Cp2symbol,VLOOKUP('Single PLP'!G16,SISOMISO,2,FALSE),FALSE)</f>
        <v>#REF!</v>
      </c>
      <c r="H74" s="2" t="e">
        <f>H71*VLOOKUP('Single PLP'!H13,Cp2symbol,VLOOKUP('Single PLP'!H16,SISOMISO,2,FALSE),FALSE)</f>
        <v>#REF!</v>
      </c>
      <c r="I74" s="2" t="e">
        <f>I71*VLOOKUP('Single PLP'!I13,Cp2symbol,VLOOKUP('Single PLP'!I16,SISOMISO,2,FALSE),FALSE)</f>
        <v>#REF!</v>
      </c>
      <c r="J74" s="2" t="e">
        <f>J71*VLOOKUP('Single PLP'!J13,Cp2symbol,VLOOKUP('Single PLP'!J16,SISOMISO,2,FALSE),FALSE)</f>
        <v>#REF!</v>
      </c>
      <c r="K74" s="2" t="e">
        <f>K71*VLOOKUP('Single PLP'!K13,Cp2symbol,VLOOKUP('Single PLP'!K16,SISOMISO,2,FALSE),FALSE)</f>
        <v>#REF!</v>
      </c>
      <c r="L74" s="2" t="e">
        <f>L71*VLOOKUP('Single PLP'!L13,Cp2symbol,VLOOKUP('Single PLP'!L16,SISOMISO,2,FALSE),FALSE)</f>
        <v>#REF!</v>
      </c>
      <c r="M74" s="2" t="e">
        <f>M71*VLOOKUP('Single PLP'!M13,Cp2symbol,VLOOKUP('Single PLP'!M16,SISOMISO,2,FALSE),FALSE)</f>
        <v>#REF!</v>
      </c>
      <c r="N74" s="2" t="e">
        <f>N71*VLOOKUP('Single PLP'!N13,Cp2symbol,VLOOKUP('Single PLP'!N16,SISOMISO,2,FALSE),FALSE)</f>
        <v>#REF!</v>
      </c>
      <c r="O74" s="2" t="e">
        <f>O71*VLOOKUP('Single PLP'!O13,Cp2symbol,VLOOKUP('Single PLP'!O16,SISOMISO,2,FALSE),FALSE)</f>
        <v>#REF!</v>
      </c>
      <c r="P74" s="2" t="e">
        <f>P71*VLOOKUP('Single PLP'!P13,Cp2symbol,VLOOKUP('Single PLP'!P16,SISOMISO,2,FALSE),FALSE)</f>
        <v>#REF!</v>
      </c>
      <c r="Q74" s="2" t="e">
        <f>Q71*VLOOKUP('Single PLP'!Q13,Cp2symbol,VLOOKUP('Single PLP'!Q16,SISOMISO,2,FALSE),FALSE)</f>
        <v>#REF!</v>
      </c>
      <c r="R74" s="2" t="e">
        <f>R71*VLOOKUP('Single PLP'!R13,Cp2symbol,VLOOKUP('Single PLP'!R16,SISOMISO,2,FALSE),FALSE)</f>
        <v>#REF!</v>
      </c>
      <c r="S74" s="2" t="e">
        <f>S71*VLOOKUP('Single PLP'!S13,Cp2symbol,VLOOKUP('Single PLP'!S16,SISOMISO,2,FALSE),FALSE)</f>
        <v>#REF!</v>
      </c>
      <c r="T74" s="2" t="e">
        <f>T71*VLOOKUP('Single PLP'!T13,Cp2symbol,VLOOKUP('Single PLP'!T16,SISOMISO,2,FALSE),FALSE)</f>
        <v>#REF!</v>
      </c>
      <c r="U74" s="2" t="e">
        <f>U71*VLOOKUP('Single PLP'!U13,Cp2symbol,VLOOKUP('Single PLP'!U16,SISOMISO,2,FALSE),FALSE)</f>
        <v>#REF!</v>
      </c>
      <c r="V74" s="2" t="e">
        <f>V71*VLOOKUP('Single PLP'!V13,Cp2symbol,VLOOKUP('Single PLP'!V16,SISOMISO,2,FALSE),FALSE)</f>
        <v>#REF!</v>
      </c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>
        <v>22432</v>
      </c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</row>
    <row r="75" spans="1:56" ht="15.75" hidden="1">
      <c r="A75" s="21" t="s">
        <v>178</v>
      </c>
      <c r="B75" s="37"/>
      <c r="C75" s="2">
        <f>C15*27404</f>
        <v>1616836</v>
      </c>
      <c r="E75" s="2">
        <f>E15*27404</f>
        <v>1616836</v>
      </c>
      <c r="F75" s="2" t="e">
        <f aca="true" t="shared" si="8" ref="F75:V75">(F15-F72)*(VLOOKUP(F13,Cdatasymbol,VLOOKUP(F22,PP,VLOOKUP(F21,BWT_EXT,2,FALSE),FALSE),FALSE)-VLOOKUP(F13,TR,VLOOKUP(F17,TR_subtable,2,FALSE),FALSE))</f>
        <v>#REF!</v>
      </c>
      <c r="G75" s="2" t="e">
        <f t="shared" si="8"/>
        <v>#REF!</v>
      </c>
      <c r="H75" s="2" t="e">
        <f t="shared" si="8"/>
        <v>#REF!</v>
      </c>
      <c r="I75" s="2" t="e">
        <f t="shared" si="8"/>
        <v>#REF!</v>
      </c>
      <c r="J75" s="2" t="e">
        <f t="shared" si="8"/>
        <v>#REF!</v>
      </c>
      <c r="K75" s="2" t="e">
        <f t="shared" si="8"/>
        <v>#REF!</v>
      </c>
      <c r="L75" s="2" t="e">
        <f t="shared" si="8"/>
        <v>#REF!</v>
      </c>
      <c r="M75" s="2" t="e">
        <f t="shared" si="8"/>
        <v>#REF!</v>
      </c>
      <c r="N75" s="2" t="e">
        <f t="shared" si="8"/>
        <v>#REF!</v>
      </c>
      <c r="O75" s="22" t="e">
        <f t="shared" si="8"/>
        <v>#REF!</v>
      </c>
      <c r="P75" s="2" t="e">
        <f t="shared" si="8"/>
        <v>#REF!</v>
      </c>
      <c r="Q75" s="2" t="e">
        <f t="shared" si="8"/>
        <v>#REF!</v>
      </c>
      <c r="R75" s="2" t="e">
        <f t="shared" si="8"/>
        <v>#REF!</v>
      </c>
      <c r="S75" s="2" t="e">
        <f t="shared" si="8"/>
        <v>#REF!</v>
      </c>
      <c r="T75" s="2" t="e">
        <f t="shared" si="8"/>
        <v>#REF!</v>
      </c>
      <c r="U75" s="2" t="e">
        <f t="shared" si="8"/>
        <v>#REF!</v>
      </c>
      <c r="V75" s="2" t="e">
        <f t="shared" si="8"/>
        <v>#REF!</v>
      </c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>
        <f>AQ15*27404</f>
        <v>1616836</v>
      </c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</row>
    <row r="76" spans="1:56" ht="15.75" hidden="1">
      <c r="A76" s="21" t="s">
        <v>179</v>
      </c>
      <c r="B76" s="37"/>
      <c r="C76" s="2">
        <v>0</v>
      </c>
      <c r="E76" s="2">
        <v>0</v>
      </c>
      <c r="F76" s="2" t="e">
        <f>F72*(VLOOKUP(F13,Cfcsymbol,VLOOKUP(F22,PP,VLOOKUP(F21,BWT_EXT,2,FALSE),FALSE),FALSE)-VLOOKUP(F13,TR,VLOOKUP(F17,TR_subtable,2,FALSE),FALSE))</f>
        <v>#REF!</v>
      </c>
      <c r="G76" s="2" t="e">
        <f>G72*(VLOOKUP(G13,Cfcsymbol,VLOOKUP(G22,PP,VLOOKUP(G21,BWT_EXT,2,FALSE),FALSE),FALSE)-VLOOKUP(G13,TR,VLOOKUP(G17,TR_subtable,2,FALSE),FALSE))</f>
        <v>#REF!</v>
      </c>
      <c r="H76" s="2" t="e">
        <f>H72*(VLOOKUP('Single PLP'!H13,Cfcsymbol,VLOOKUP('Single PLP'!H22,PP,VLOOKUP('Single PLP'!H21,BWT_EXT,2,FALSE),FALSE),FALSE)-VLOOKUP('Single PLP'!H13,TR,VLOOKUP('Single PLP'!H17,TR_subtable,2,FALSE),FALSE))</f>
        <v>#REF!</v>
      </c>
      <c r="I76" s="2" t="e">
        <f>I72*(VLOOKUP(I13,Cfcsymbol,VLOOKUP(I22,PP,VLOOKUP(I21,BWT_EXT,2,FALSE),FALSE),FALSE)-VLOOKUP(I13,TR,VLOOKUP(I17,TR_subtable,2,FALSE),FALSE))</f>
        <v>#REF!</v>
      </c>
      <c r="J76" s="2" t="e">
        <f>J72*(VLOOKUP(J13,Cfcsymbol,VLOOKUP(J22,PP,VLOOKUP(J21,BWT_EXT,2,FALSE),FALSE),FALSE)-VLOOKUP(J13,TR,VLOOKUP(J17,TR_subtable,2,FALSE),FALSE))</f>
        <v>#REF!</v>
      </c>
      <c r="K76" s="2" t="e">
        <f>K72*(VLOOKUP(K13,Cfcsymbol,VLOOKUP(K22,PP,VLOOKUP(K21,BWT_EXT,2,FALSE),FALSE),FALSE)-VLOOKUP(K13,TR,VLOOKUP(K17,TR_subtable,2,FALSE),FALSE))</f>
        <v>#REF!</v>
      </c>
      <c r="L76" s="2" t="e">
        <f>L72*(VLOOKUP(L13,Cfcsymbol,VLOOKUP(L22,PP,VLOOKUP(L21,BWT_EXT,2,FALSE),FALSE),FALSE)-VLOOKUP(L13,TR,VLOOKUP(L17,TR_subtable,2,FALSE),FALSE))</f>
        <v>#REF!</v>
      </c>
      <c r="M76" s="2" t="e">
        <f>M72*(VLOOKUP(M13,Cfcsymbol,VLOOKUP(M22,PP,VLOOKUP(M21,BWT_EXT,2,FALSE),FALSE),FALSE)-VLOOKUP(M13,TR,VLOOKUP(M17,TR_subtable,2,FALSE),FALSE))</f>
        <v>#REF!</v>
      </c>
      <c r="N76" s="2" t="e">
        <f>N72*(VLOOKUP('Single PLP'!N13,Cfcsymbol,VLOOKUP('Single PLP'!N22,PP,VLOOKUP('Single PLP'!N21,BWT_EXT,2,FALSE),FALSE),FALSE)-VLOOKUP('Single PLP'!N13,TR,VLOOKUP('Single PLP'!N17,TR_subtable,2,FALSE),FALSE))</f>
        <v>#REF!</v>
      </c>
      <c r="O76" s="2" t="e">
        <f>O72*(VLOOKUP('Single PLP'!O13,Cfcsymbol,VLOOKUP('Single PLP'!O22,PP,VLOOKUP('Single PLP'!O21,BWT_EXT,2,FALSE),FALSE),FALSE)-VLOOKUP('Single PLP'!O13,TR,VLOOKUP('Single PLP'!O17,TR_subtable,2,FALSE),FALSE))</f>
        <v>#REF!</v>
      </c>
      <c r="P76" s="2" t="e">
        <f>P72*(VLOOKUP('Single PLP'!P13,Cfcsymbol,VLOOKUP('Single PLP'!P22,PP,VLOOKUP('Single PLP'!P21,BWT_EXT,2,FALSE),FALSE),FALSE)-VLOOKUP('Single PLP'!P13,TR,VLOOKUP('Single PLP'!P17,TR_subtable,2,FALSE),FALSE))</f>
        <v>#REF!</v>
      </c>
      <c r="Q76" s="2" t="e">
        <f>Q72*(VLOOKUP('Single PLP'!Q13,Cfcsymbol,VLOOKUP('Single PLP'!Q22,PP,VLOOKUP('Single PLP'!Q21,BWT_EXT,2,FALSE),FALSE),FALSE)-VLOOKUP('Single PLP'!Q13,TR,VLOOKUP('Single PLP'!Q17,TR_subtable,2,FALSE),FALSE))</f>
        <v>#REF!</v>
      </c>
      <c r="R76" s="2" t="e">
        <f>R72*(VLOOKUP('Single PLP'!R13,Cfcsymbol,VLOOKUP('Single PLP'!R22,PP,VLOOKUP('Single PLP'!R21,BWT_EXT,2,FALSE),FALSE),FALSE)-VLOOKUP('Single PLP'!R13,TR,VLOOKUP('Single PLP'!R17,TR_subtable,2,FALSE),FALSE))</f>
        <v>#REF!</v>
      </c>
      <c r="S76" s="2" t="e">
        <f>S72*(VLOOKUP('Single PLP'!S13,Cfcsymbol,VLOOKUP('Single PLP'!S22,PP,VLOOKUP('Single PLP'!S21,BWT_EXT,2,FALSE),FALSE),FALSE)-VLOOKUP('Single PLP'!S13,TR,VLOOKUP('Single PLP'!S17,TR_subtable,2,FALSE),FALSE))</f>
        <v>#REF!</v>
      </c>
      <c r="T76" s="2" t="e">
        <f>T72*(VLOOKUP('Single PLP'!T13,Cfcsymbol,VLOOKUP('Single PLP'!T22,PP,VLOOKUP('Single PLP'!T21,BWT_EXT,2,FALSE),FALSE),FALSE)-VLOOKUP('Single PLP'!T13,TR,VLOOKUP('Single PLP'!T17,TR_subtable,2,FALSE),FALSE))</f>
        <v>#REF!</v>
      </c>
      <c r="U76" s="2" t="e">
        <f>U72*(VLOOKUP('Single PLP'!U13,Cfcsymbol,VLOOKUP('Single PLP'!U22,PP,VLOOKUP('Single PLP'!U21,BWT_EXT,2,FALSE),FALSE),FALSE)-VLOOKUP('Single PLP'!U13,TR,VLOOKUP('Single PLP'!U17,TR_subtable,2,FALSE),FALSE))</f>
        <v>#REF!</v>
      </c>
      <c r="V76" s="2" t="e">
        <f>V72*(VLOOKUP('Single PLP'!V13,Cfcsymbol,VLOOKUP('Single PLP'!V22,PP,VLOOKUP('Single PLP'!V21,BWT_EXT,2,FALSE),FALSE),FALSE)-VLOOKUP('Single PLP'!V13,TR,VLOOKUP('Single PLP'!V17,TR_subtable,2,FALSE),FALSE))</f>
        <v>#REF!</v>
      </c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>
        <v>0</v>
      </c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</row>
    <row r="77" spans="1:56" ht="15.75" hidden="1">
      <c r="A77" s="21" t="s">
        <v>180</v>
      </c>
      <c r="B77" s="21"/>
      <c r="C77" s="2">
        <f>SUM(C74:C76)</f>
        <v>1639268</v>
      </c>
      <c r="E77" s="2">
        <f aca="true" t="shared" si="9" ref="E77:V77">SUM(E74:E76)</f>
        <v>1639268</v>
      </c>
      <c r="F77" s="2" t="e">
        <f t="shared" si="9"/>
        <v>#REF!</v>
      </c>
      <c r="G77" s="2" t="e">
        <f t="shared" si="9"/>
        <v>#REF!</v>
      </c>
      <c r="H77" s="2" t="e">
        <f t="shared" si="9"/>
        <v>#REF!</v>
      </c>
      <c r="I77" s="2" t="e">
        <f t="shared" si="9"/>
        <v>#REF!</v>
      </c>
      <c r="J77" s="2" t="e">
        <f t="shared" si="9"/>
        <v>#REF!</v>
      </c>
      <c r="K77" s="2" t="e">
        <f t="shared" si="9"/>
        <v>#REF!</v>
      </c>
      <c r="L77" s="2" t="e">
        <f t="shared" si="9"/>
        <v>#REF!</v>
      </c>
      <c r="M77" s="2" t="e">
        <f t="shared" si="9"/>
        <v>#REF!</v>
      </c>
      <c r="N77" s="2" t="e">
        <f t="shared" si="9"/>
        <v>#REF!</v>
      </c>
      <c r="O77" s="2" t="e">
        <f t="shared" si="9"/>
        <v>#REF!</v>
      </c>
      <c r="P77" s="2" t="e">
        <f t="shared" si="9"/>
        <v>#REF!</v>
      </c>
      <c r="Q77" s="2" t="e">
        <f t="shared" si="9"/>
        <v>#REF!</v>
      </c>
      <c r="R77" s="2" t="e">
        <f t="shared" si="9"/>
        <v>#REF!</v>
      </c>
      <c r="S77" s="2" t="e">
        <f t="shared" si="9"/>
        <v>#REF!</v>
      </c>
      <c r="T77" s="2" t="e">
        <f t="shared" si="9"/>
        <v>#REF!</v>
      </c>
      <c r="U77" s="2" t="e">
        <f t="shared" si="9"/>
        <v>#REF!</v>
      </c>
      <c r="V77" s="2" t="e">
        <f t="shared" si="9"/>
        <v>#REF!</v>
      </c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>
        <f>SUM(AQ74:AQ76)</f>
        <v>1639268</v>
      </c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</row>
    <row r="78" spans="1:56" ht="15.75" hidden="1">
      <c r="A78" s="27" t="s">
        <v>181</v>
      </c>
      <c r="B78" s="38">
        <v>68</v>
      </c>
      <c r="C78" s="2">
        <v>68</v>
      </c>
      <c r="E78" s="2">
        <v>68</v>
      </c>
      <c r="F78" s="2">
        <f aca="true" t="shared" si="10" ref="F78:V78">IF(F59=0,IF(MOD(F54,F60)=0,F54/F60,FLOOR(F54/F60,1)+1),F54)</f>
        <v>50</v>
      </c>
      <c r="G78" s="2">
        <f t="shared" si="10"/>
        <v>17</v>
      </c>
      <c r="H78" s="2">
        <f t="shared" si="10"/>
        <v>50</v>
      </c>
      <c r="I78" s="2">
        <f t="shared" si="10"/>
        <v>17</v>
      </c>
      <c r="J78" s="2">
        <f t="shared" si="10"/>
        <v>56</v>
      </c>
      <c r="K78" s="2">
        <f t="shared" si="10"/>
        <v>11</v>
      </c>
      <c r="L78" s="2">
        <f t="shared" si="10"/>
        <v>31</v>
      </c>
      <c r="M78" s="2">
        <f t="shared" si="10"/>
        <v>16</v>
      </c>
      <c r="N78" s="2">
        <f t="shared" si="10"/>
        <v>51</v>
      </c>
      <c r="O78" s="2">
        <f t="shared" si="10"/>
        <v>51</v>
      </c>
      <c r="P78" s="2">
        <f t="shared" si="10"/>
        <v>51</v>
      </c>
      <c r="Q78" s="2">
        <f t="shared" si="10"/>
        <v>67</v>
      </c>
      <c r="R78" s="2">
        <f t="shared" si="10"/>
        <v>67</v>
      </c>
      <c r="S78" s="2">
        <f t="shared" si="10"/>
        <v>64</v>
      </c>
      <c r="T78" s="2">
        <f t="shared" si="10"/>
        <v>61</v>
      </c>
      <c r="U78" s="2">
        <f t="shared" si="10"/>
        <v>68</v>
      </c>
      <c r="V78" s="2">
        <f t="shared" si="10"/>
        <v>3</v>
      </c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>
        <v>68</v>
      </c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</row>
    <row r="79" spans="1:56" ht="15.75" hidden="1">
      <c r="A79" s="27" t="s">
        <v>182</v>
      </c>
      <c r="B79" s="21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6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</row>
    <row r="80" spans="1:56" ht="15.75" hidden="1">
      <c r="A80" s="27" t="s">
        <v>183</v>
      </c>
      <c r="B80" s="21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2"/>
      <c r="Z80" s="2"/>
      <c r="AA80" s="2"/>
      <c r="AB80" s="39"/>
      <c r="AC80" s="39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39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</row>
    <row r="81" spans="1:56" ht="15.75" hidden="1">
      <c r="A81" s="27" t="s">
        <v>184</v>
      </c>
      <c r="B81" s="21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2"/>
      <c r="AA81" s="2"/>
      <c r="AB81" s="39"/>
      <c r="AC81" s="39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39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</row>
    <row r="82" spans="1:56" ht="15.75" hidden="1">
      <c r="A82" s="27" t="s">
        <v>185</v>
      </c>
      <c r="B82" s="21" t="s">
        <v>186</v>
      </c>
      <c r="C82" s="2">
        <f>C78*64800/8</f>
        <v>550800</v>
      </c>
      <c r="E82" s="2">
        <f>E78*64800/8</f>
        <v>550800</v>
      </c>
      <c r="F82" s="2" t="e">
        <f>F78*F52/VLOOKUP('Single PLP'!F$50,ConstellationOrder,2,FALSE)</f>
        <v>#REF!</v>
      </c>
      <c r="G82" s="2" t="e">
        <f>G78*G52/VLOOKUP('Single PLP'!G$50,ConstellationOrder,2,FALSE)</f>
        <v>#REF!</v>
      </c>
      <c r="H82" s="2" t="e">
        <f>H78*H$52/VLOOKUP('Single PLP'!H$50,ConstellationOrder,2,FALSE)</f>
        <v>#REF!</v>
      </c>
      <c r="I82" s="2" t="e">
        <f>I78*I52/VLOOKUP('Single PLP'!I$50,ConstellationOrder,2,FALSE)</f>
        <v>#REF!</v>
      </c>
      <c r="J82" s="2" t="e">
        <f>J78*J52/VLOOKUP('Single PLP'!J$50,ConstellationOrder,2,FALSE)</f>
        <v>#REF!</v>
      </c>
      <c r="K82" s="2" t="e">
        <f>K78*K52/VLOOKUP('Single PLP'!K$50,ConstellationOrder,2,FALSE)</f>
        <v>#REF!</v>
      </c>
      <c r="L82" s="2" t="e">
        <f>L78*L52/VLOOKUP('Single PLP'!L$50,ConstellationOrder,2,FALSE)</f>
        <v>#REF!</v>
      </c>
      <c r="M82" s="2" t="e">
        <f>M78*M52/VLOOKUP('Single PLP'!M$50,ConstellationOrder,2,FALSE)</f>
        <v>#REF!</v>
      </c>
      <c r="N82" s="2" t="e">
        <f>N78*N$52/VLOOKUP('Single PLP'!N$50,ConstellationOrder,2,FALSE)</f>
        <v>#REF!</v>
      </c>
      <c r="O82" s="2" t="e">
        <f>O78*O$52/VLOOKUP('Single PLP'!O$50,ConstellationOrder,2,FALSE)</f>
        <v>#REF!</v>
      </c>
      <c r="P82" s="2" t="e">
        <f>P78*P$52/VLOOKUP('Single PLP'!P$50,ConstellationOrder,2,FALSE)</f>
        <v>#REF!</v>
      </c>
      <c r="Q82" s="2" t="e">
        <f>Q78*Q$52/VLOOKUP('Single PLP'!Q$50,ConstellationOrder,2,FALSE)</f>
        <v>#REF!</v>
      </c>
      <c r="R82" s="2" t="e">
        <f>R78*R$52/VLOOKUP('Single PLP'!R$50,ConstellationOrder,2,FALSE)</f>
        <v>#REF!</v>
      </c>
      <c r="S82" s="2" t="e">
        <f>S78*S$52/VLOOKUP('Single PLP'!S$50,ConstellationOrder,2,FALSE)</f>
        <v>#REF!</v>
      </c>
      <c r="T82" s="2" t="e">
        <f>T78*T$52/VLOOKUP('Single PLP'!T$50,ConstellationOrder,2,FALSE)</f>
        <v>#REF!</v>
      </c>
      <c r="U82" s="2" t="e">
        <f>U78*U$52/VLOOKUP('Single PLP'!U$50,ConstellationOrder,2,FALSE)</f>
        <v>#REF!</v>
      </c>
      <c r="V82" s="2" t="e">
        <f>V78*V$52/VLOOKUP('Single PLP'!V$50,ConstellationOrder,2,FALSE)</f>
        <v>#REF!</v>
      </c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>
        <f>AQ78*64800/8</f>
        <v>550800</v>
      </c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</row>
    <row r="83" spans="1:56" ht="15.75" hidden="1">
      <c r="A83" s="27" t="s">
        <v>187</v>
      </c>
      <c r="B83" s="21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6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</row>
    <row r="84" spans="1:56" ht="15.75" hidden="1">
      <c r="A84" s="27" t="s">
        <v>188</v>
      </c>
      <c r="B84" s="21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2"/>
      <c r="Z84" s="2"/>
      <c r="AA84" s="2"/>
      <c r="AB84" s="39"/>
      <c r="AC84" s="39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39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</row>
    <row r="85" spans="1:56" ht="15.75" hidden="1">
      <c r="A85" s="27" t="s">
        <v>189</v>
      </c>
      <c r="B85" s="21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"/>
      <c r="AA85" s="2"/>
      <c r="AB85" s="26"/>
      <c r="AC85" s="26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6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</row>
    <row r="86" spans="1:56" ht="15.75" hidden="1">
      <c r="A86" s="27" t="s">
        <v>190</v>
      </c>
      <c r="B86" s="21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2"/>
      <c r="AA86" s="39"/>
      <c r="AB86" s="39"/>
      <c r="AC86" s="39"/>
      <c r="AD86" s="32"/>
      <c r="AE86" s="2"/>
      <c r="AF86" s="3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39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</row>
    <row r="87" spans="1:56" ht="31.5" hidden="1">
      <c r="A87" s="21"/>
      <c r="B87" s="27" t="s">
        <v>191</v>
      </c>
      <c r="C87" s="2">
        <f aca="true" t="shared" si="11" ref="C87:AQ87">2^19+2^15</f>
        <v>557056</v>
      </c>
      <c r="E87" s="2">
        <f t="shared" si="11"/>
        <v>557056</v>
      </c>
      <c r="F87" s="2">
        <f t="shared" si="11"/>
        <v>557056</v>
      </c>
      <c r="G87" s="2">
        <f t="shared" si="11"/>
        <v>557056</v>
      </c>
      <c r="H87" s="2">
        <f t="shared" si="11"/>
        <v>557056</v>
      </c>
      <c r="I87" s="2">
        <f t="shared" si="11"/>
        <v>557056</v>
      </c>
      <c r="J87" s="2">
        <f t="shared" si="11"/>
        <v>557056</v>
      </c>
      <c r="K87" s="2">
        <f t="shared" si="11"/>
        <v>557056</v>
      </c>
      <c r="L87" s="2">
        <f t="shared" si="11"/>
        <v>557056</v>
      </c>
      <c r="M87" s="2">
        <f t="shared" si="11"/>
        <v>557056</v>
      </c>
      <c r="N87" s="2">
        <f t="shared" si="11"/>
        <v>557056</v>
      </c>
      <c r="O87" s="2">
        <f t="shared" si="11"/>
        <v>557056</v>
      </c>
      <c r="P87" s="2">
        <f t="shared" si="11"/>
        <v>557056</v>
      </c>
      <c r="Q87" s="2">
        <f t="shared" si="11"/>
        <v>557056</v>
      </c>
      <c r="R87" s="2">
        <f t="shared" si="11"/>
        <v>557056</v>
      </c>
      <c r="S87" s="2">
        <f t="shared" si="11"/>
        <v>557056</v>
      </c>
      <c r="T87" s="2">
        <f t="shared" si="11"/>
        <v>557056</v>
      </c>
      <c r="U87" s="2">
        <f t="shared" si="11"/>
        <v>557056</v>
      </c>
      <c r="V87" s="2">
        <f t="shared" si="11"/>
        <v>557056</v>
      </c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>
        <f t="shared" si="11"/>
        <v>557056</v>
      </c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</row>
    <row r="88" spans="1:56" ht="15.75" hidden="1">
      <c r="A88" s="27" t="s">
        <v>192</v>
      </c>
      <c r="B88" s="21"/>
      <c r="C88" s="2" t="s">
        <v>193</v>
      </c>
      <c r="E88" s="2" t="s">
        <v>193</v>
      </c>
      <c r="F88" s="2">
        <v>1840</v>
      </c>
      <c r="G88" s="2">
        <v>1840</v>
      </c>
      <c r="H88" s="2">
        <v>1840</v>
      </c>
      <c r="I88" s="2">
        <v>1840</v>
      </c>
      <c r="J88" s="2">
        <v>1840</v>
      </c>
      <c r="K88" s="2">
        <v>1840</v>
      </c>
      <c r="L88" s="2">
        <v>1840</v>
      </c>
      <c r="M88" s="2">
        <v>1840</v>
      </c>
      <c r="N88" s="2">
        <v>1840</v>
      </c>
      <c r="O88" s="2">
        <v>1840</v>
      </c>
      <c r="P88" s="2">
        <v>1840</v>
      </c>
      <c r="Q88" s="2">
        <v>1840</v>
      </c>
      <c r="R88" s="2">
        <v>1840</v>
      </c>
      <c r="S88" s="2">
        <v>1840</v>
      </c>
      <c r="T88" s="2">
        <v>1840</v>
      </c>
      <c r="U88" s="2">
        <v>1840</v>
      </c>
      <c r="V88" s="2">
        <v>1840</v>
      </c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 t="s">
        <v>193</v>
      </c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</row>
    <row r="89" spans="1:56" ht="15.75" hidden="1">
      <c r="A89" s="27" t="s">
        <v>194</v>
      </c>
      <c r="B89" s="21"/>
      <c r="C89" s="2" t="s">
        <v>195</v>
      </c>
      <c r="E89" s="2" t="s">
        <v>195</v>
      </c>
      <c r="F89" s="40" t="e">
        <f aca="true" t="shared" si="12" ref="F89:V89">F106</f>
        <v>#REF!</v>
      </c>
      <c r="G89" s="40" t="e">
        <f t="shared" si="12"/>
        <v>#REF!</v>
      </c>
      <c r="H89" s="40" t="e">
        <f t="shared" si="12"/>
        <v>#REF!</v>
      </c>
      <c r="I89" s="40" t="e">
        <f t="shared" si="12"/>
        <v>#REF!</v>
      </c>
      <c r="J89" s="40" t="e">
        <f t="shared" si="12"/>
        <v>#REF!</v>
      </c>
      <c r="K89" s="40" t="e">
        <f t="shared" si="12"/>
        <v>#REF!</v>
      </c>
      <c r="L89" s="40" t="e">
        <f t="shared" si="12"/>
        <v>#REF!</v>
      </c>
      <c r="M89" s="40" t="e">
        <f t="shared" si="12"/>
        <v>#REF!</v>
      </c>
      <c r="N89" s="40" t="e">
        <f t="shared" si="12"/>
        <v>#REF!</v>
      </c>
      <c r="O89" s="40" t="e">
        <f t="shared" si="12"/>
        <v>#REF!</v>
      </c>
      <c r="P89" s="40" t="e">
        <f t="shared" si="12"/>
        <v>#REF!</v>
      </c>
      <c r="Q89" s="40" t="e">
        <f t="shared" si="12"/>
        <v>#REF!</v>
      </c>
      <c r="R89" s="40" t="e">
        <f t="shared" si="12"/>
        <v>#REF!</v>
      </c>
      <c r="S89" s="40" t="e">
        <f t="shared" si="12"/>
        <v>#REF!</v>
      </c>
      <c r="T89" s="40" t="e">
        <f t="shared" si="12"/>
        <v>#REF!</v>
      </c>
      <c r="U89" s="40" t="e">
        <f t="shared" si="12"/>
        <v>#REF!</v>
      </c>
      <c r="V89" s="40" t="e">
        <f t="shared" si="12"/>
        <v>#REF!</v>
      </c>
      <c r="W89" s="40"/>
      <c r="X89" s="40"/>
      <c r="Y89" s="40"/>
      <c r="Z89" s="40"/>
      <c r="AA89" s="40"/>
      <c r="AB89" s="40"/>
      <c r="AC89" s="40"/>
      <c r="AD89" s="40"/>
      <c r="AE89" s="2"/>
      <c r="AF89" s="40"/>
      <c r="AG89" s="40"/>
      <c r="AH89" s="40"/>
      <c r="AI89" s="40"/>
      <c r="AJ89" s="2"/>
      <c r="AK89" s="2"/>
      <c r="AL89" s="2"/>
      <c r="AM89" s="2"/>
      <c r="AN89" s="2"/>
      <c r="AO89" s="2"/>
      <c r="AP89" s="2"/>
      <c r="AQ89" s="2" t="s">
        <v>195</v>
      </c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</row>
    <row r="90" spans="1:56" ht="15.75" hidden="1">
      <c r="A90" s="27" t="s">
        <v>196</v>
      </c>
      <c r="B90" s="21" t="s">
        <v>197</v>
      </c>
      <c r="C90" s="2">
        <f>C54*C52/8</f>
        <v>1636200</v>
      </c>
      <c r="E90" s="2">
        <f>E54*E52/8</f>
        <v>1636200</v>
      </c>
      <c r="F90" s="2" t="e">
        <f>F73*F52/VLOOKUP('Single PLP'!F50,ConstellationOrder,2,FALSE)</f>
        <v>#REF!</v>
      </c>
      <c r="G90" s="2" t="e">
        <f>G73*G52/VLOOKUP('Single PLP'!G50,ConstellationOrder,2,FALSE)</f>
        <v>#REF!</v>
      </c>
      <c r="H90" s="2" t="e">
        <f>H73*H52/VLOOKUP('Single PLP'!H50,ConstellationOrder,2,FALSE)</f>
        <v>#REF!</v>
      </c>
      <c r="I90" s="2" t="e">
        <f>I73*I52/VLOOKUP('Single PLP'!I50,ConstellationOrder,2,FALSE)</f>
        <v>#REF!</v>
      </c>
      <c r="J90" s="2" t="e">
        <f>J73*J52/VLOOKUP('Single PLP'!J50,ConstellationOrder,2,FALSE)</f>
        <v>#REF!</v>
      </c>
      <c r="K90" s="2" t="e">
        <f>K73*K52/VLOOKUP('Single PLP'!K50,ConstellationOrder,2,FALSE)</f>
        <v>#REF!</v>
      </c>
      <c r="L90" s="2" t="e">
        <f>L73*L52/VLOOKUP('Single PLP'!L50,ConstellationOrder,2,FALSE)</f>
        <v>#REF!</v>
      </c>
      <c r="M90" s="2" t="e">
        <f>M73*M52/VLOOKUP('Single PLP'!M50,ConstellationOrder,2,FALSE)</f>
        <v>#REF!</v>
      </c>
      <c r="N90" s="2" t="e">
        <f>N73*N52/VLOOKUP('Single PLP'!N50,ConstellationOrder,2,FALSE)</f>
        <v>#REF!</v>
      </c>
      <c r="O90" s="41" t="e">
        <f>O73*O52/VLOOKUP('Single PLP'!O50,ConstellationOrder,2,FALSE)</f>
        <v>#REF!</v>
      </c>
      <c r="P90" s="2" t="e">
        <f>P73*P52/VLOOKUP('Single PLP'!P50,ConstellationOrder,2,FALSE)</f>
        <v>#REF!</v>
      </c>
      <c r="Q90" s="2" t="e">
        <f>Q73*Q52/VLOOKUP('Single PLP'!Q50,ConstellationOrder,2,FALSE)</f>
        <v>#REF!</v>
      </c>
      <c r="R90" s="2" t="e">
        <f>R73*R52/VLOOKUP('Single PLP'!R50,ConstellationOrder,2,FALSE)</f>
        <v>#REF!</v>
      </c>
      <c r="S90" s="2" t="e">
        <f>S73*S52/VLOOKUP('Single PLP'!S50,ConstellationOrder,2,FALSE)</f>
        <v>#REF!</v>
      </c>
      <c r="T90" s="2" t="e">
        <f>T73*T52/VLOOKUP('Single PLP'!T50,ConstellationOrder,2,FALSE)</f>
        <v>#REF!</v>
      </c>
      <c r="U90" s="2" t="e">
        <f>U73*U52/VLOOKUP('Single PLP'!U50,ConstellationOrder,2,FALSE)</f>
        <v>#REF!</v>
      </c>
      <c r="V90" s="2" t="e">
        <f>V73*V52/VLOOKUP('Single PLP'!V50,ConstellationOrder,2,FALSE)</f>
        <v>#REF!</v>
      </c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>
        <f>AQ54*AQ52/8</f>
        <v>1636200</v>
      </c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</row>
    <row r="91" spans="1:56" ht="15.75" hidden="1">
      <c r="A91" s="27" t="s">
        <v>198</v>
      </c>
      <c r="B91" s="21" t="s">
        <v>199</v>
      </c>
      <c r="C91" s="2">
        <v>978</v>
      </c>
      <c r="E91" s="2">
        <v>978</v>
      </c>
      <c r="F91" s="2" t="e">
        <f aca="true" t="shared" si="13" ref="F91:V91">F77-F88-F89-F90</f>
        <v>#REF!</v>
      </c>
      <c r="G91" s="2" t="e">
        <f t="shared" si="13"/>
        <v>#REF!</v>
      </c>
      <c r="H91" s="2" t="e">
        <f t="shared" si="13"/>
        <v>#REF!</v>
      </c>
      <c r="I91" s="2" t="e">
        <f t="shared" si="13"/>
        <v>#REF!</v>
      </c>
      <c r="J91" s="2" t="e">
        <f t="shared" si="13"/>
        <v>#REF!</v>
      </c>
      <c r="K91" s="2" t="e">
        <f t="shared" si="13"/>
        <v>#REF!</v>
      </c>
      <c r="L91" s="2" t="e">
        <f t="shared" si="13"/>
        <v>#REF!</v>
      </c>
      <c r="M91" s="2" t="e">
        <f t="shared" si="13"/>
        <v>#REF!</v>
      </c>
      <c r="N91" s="2" t="e">
        <f t="shared" si="13"/>
        <v>#REF!</v>
      </c>
      <c r="O91" s="22" t="e">
        <f t="shared" si="13"/>
        <v>#REF!</v>
      </c>
      <c r="P91" s="2" t="e">
        <f t="shared" si="13"/>
        <v>#REF!</v>
      </c>
      <c r="Q91" s="2" t="e">
        <f t="shared" si="13"/>
        <v>#REF!</v>
      </c>
      <c r="R91" s="2" t="e">
        <f t="shared" si="13"/>
        <v>#REF!</v>
      </c>
      <c r="S91" s="2" t="e">
        <f t="shared" si="13"/>
        <v>#REF!</v>
      </c>
      <c r="T91" s="2" t="e">
        <f t="shared" si="13"/>
        <v>#REF!</v>
      </c>
      <c r="U91" s="2" t="e">
        <f t="shared" si="13"/>
        <v>#REF!</v>
      </c>
      <c r="V91" s="2" t="e">
        <f t="shared" si="13"/>
        <v>#REF!</v>
      </c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>
        <v>978</v>
      </c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</row>
    <row r="92" spans="1:56" ht="15.75" hidden="1">
      <c r="A92" s="21" t="s">
        <v>200</v>
      </c>
      <c r="B92" s="21"/>
      <c r="C92" s="2" t="s">
        <v>201</v>
      </c>
      <c r="E92" s="2" t="s">
        <v>201</v>
      </c>
      <c r="F92" s="2" t="s">
        <v>201</v>
      </c>
      <c r="G92" s="2" t="s">
        <v>201</v>
      </c>
      <c r="H92" s="2" t="s">
        <v>201</v>
      </c>
      <c r="I92" s="2" t="s">
        <v>201</v>
      </c>
      <c r="J92" s="2" t="s">
        <v>201</v>
      </c>
      <c r="K92" s="2" t="s">
        <v>201</v>
      </c>
      <c r="L92" s="2" t="s">
        <v>201</v>
      </c>
      <c r="M92" s="2" t="s">
        <v>201</v>
      </c>
      <c r="N92" s="2" t="s">
        <v>201</v>
      </c>
      <c r="O92" s="2" t="s">
        <v>201</v>
      </c>
      <c r="P92" s="2" t="s">
        <v>201</v>
      </c>
      <c r="Q92" s="2" t="s">
        <v>201</v>
      </c>
      <c r="R92" s="2" t="s">
        <v>201</v>
      </c>
      <c r="S92" s="2" t="s">
        <v>201</v>
      </c>
      <c r="T92" s="2" t="s">
        <v>201</v>
      </c>
      <c r="U92" s="2" t="s">
        <v>201</v>
      </c>
      <c r="V92" s="2" t="s">
        <v>201</v>
      </c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 t="s">
        <v>201</v>
      </c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</row>
    <row r="93" spans="6:56" ht="12.75" hidden="1"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</row>
    <row r="94" spans="1:56" ht="15.75" hidden="1">
      <c r="A94" s="27" t="s">
        <v>202</v>
      </c>
      <c r="F94" s="42">
        <f aca="true" t="shared" si="14" ref="F94:V94">(67+89*F$35+34*(IF(F$25="Yes",1,0))+35*F$36+32*F$37)</f>
        <v>191</v>
      </c>
      <c r="G94" s="42">
        <f t="shared" si="14"/>
        <v>191</v>
      </c>
      <c r="H94" s="42">
        <f t="shared" si="14"/>
        <v>191</v>
      </c>
      <c r="I94" s="42">
        <f t="shared" si="14"/>
        <v>191</v>
      </c>
      <c r="J94" s="42">
        <f t="shared" si="14"/>
        <v>191</v>
      </c>
      <c r="K94" s="42">
        <f t="shared" si="14"/>
        <v>191</v>
      </c>
      <c r="L94" s="42">
        <f t="shared" si="14"/>
        <v>191</v>
      </c>
      <c r="M94" s="42">
        <f t="shared" si="14"/>
        <v>191</v>
      </c>
      <c r="N94" s="42">
        <f t="shared" si="14"/>
        <v>191</v>
      </c>
      <c r="O94" s="42">
        <f t="shared" si="14"/>
        <v>191</v>
      </c>
      <c r="P94" s="42">
        <f t="shared" si="14"/>
        <v>191</v>
      </c>
      <c r="Q94" s="42">
        <f t="shared" si="14"/>
        <v>191</v>
      </c>
      <c r="R94" s="42">
        <f t="shared" si="14"/>
        <v>191</v>
      </c>
      <c r="S94" s="42">
        <f t="shared" si="14"/>
        <v>191</v>
      </c>
      <c r="T94" s="42">
        <f t="shared" si="14"/>
        <v>191</v>
      </c>
      <c r="U94" s="42">
        <f t="shared" si="14"/>
        <v>191</v>
      </c>
      <c r="V94" s="42">
        <f t="shared" si="14"/>
        <v>225</v>
      </c>
      <c r="W94" s="42"/>
      <c r="X94" s="42"/>
      <c r="Y94" s="42"/>
      <c r="Z94" s="42"/>
      <c r="AA94" s="42"/>
      <c r="AB94" s="42"/>
      <c r="AC94" s="42"/>
      <c r="AD94" s="42"/>
      <c r="AE94" s="2"/>
      <c r="AF94" s="42"/>
      <c r="AG94" s="42"/>
      <c r="AH94" s="42"/>
      <c r="AI94" s="42"/>
      <c r="AJ94" s="2"/>
      <c r="AK94" s="2"/>
      <c r="AL94" s="2"/>
      <c r="AM94" s="2"/>
      <c r="AN94" s="2"/>
      <c r="AO94" s="2"/>
      <c r="AP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</row>
    <row r="95" spans="1:56" ht="15.75" hidden="1">
      <c r="A95" s="27" t="s">
        <v>203</v>
      </c>
      <c r="F95" s="42">
        <f aca="true" t="shared" si="15" ref="F95:V95">(79+48*F$35+48*F$37)</f>
        <v>127</v>
      </c>
      <c r="G95" s="42">
        <f t="shared" si="15"/>
        <v>127</v>
      </c>
      <c r="H95" s="42">
        <f t="shared" si="15"/>
        <v>127</v>
      </c>
      <c r="I95" s="42">
        <f t="shared" si="15"/>
        <v>127</v>
      </c>
      <c r="J95" s="42">
        <f t="shared" si="15"/>
        <v>127</v>
      </c>
      <c r="K95" s="42">
        <f t="shared" si="15"/>
        <v>127</v>
      </c>
      <c r="L95" s="42">
        <f t="shared" si="15"/>
        <v>127</v>
      </c>
      <c r="M95" s="42">
        <f t="shared" si="15"/>
        <v>127</v>
      </c>
      <c r="N95" s="42">
        <f t="shared" si="15"/>
        <v>127</v>
      </c>
      <c r="O95" s="42">
        <f t="shared" si="15"/>
        <v>127</v>
      </c>
      <c r="P95" s="42">
        <f t="shared" si="15"/>
        <v>127</v>
      </c>
      <c r="Q95" s="42">
        <f t="shared" si="15"/>
        <v>127</v>
      </c>
      <c r="R95" s="42">
        <f t="shared" si="15"/>
        <v>127</v>
      </c>
      <c r="S95" s="42">
        <f t="shared" si="15"/>
        <v>127</v>
      </c>
      <c r="T95" s="42">
        <f t="shared" si="15"/>
        <v>127</v>
      </c>
      <c r="U95" s="42">
        <f t="shared" si="15"/>
        <v>127</v>
      </c>
      <c r="V95" s="42">
        <f t="shared" si="15"/>
        <v>127</v>
      </c>
      <c r="W95" s="42"/>
      <c r="X95" s="42"/>
      <c r="Y95" s="42"/>
      <c r="Z95" s="42"/>
      <c r="AA95" s="42"/>
      <c r="AB95" s="42"/>
      <c r="AC95" s="42"/>
      <c r="AD95" s="42"/>
      <c r="AE95" s="2"/>
      <c r="AF95" s="42"/>
      <c r="AG95" s="42"/>
      <c r="AH95" s="42"/>
      <c r="AI95" s="42"/>
      <c r="AJ95" s="2"/>
      <c r="AK95" s="2"/>
      <c r="AL95" s="2"/>
      <c r="AM95" s="2"/>
      <c r="AN95" s="2"/>
      <c r="AO95" s="2"/>
      <c r="AP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</row>
    <row r="96" spans="1:56" ht="15.75" hidden="1">
      <c r="A96" s="27" t="s">
        <v>204</v>
      </c>
      <c r="F96" s="2">
        <f aca="true" t="shared" si="16" ref="F96:V96">IF(F34=1,F95,0)</f>
        <v>0</v>
      </c>
      <c r="G96" s="2">
        <f t="shared" si="16"/>
        <v>0</v>
      </c>
      <c r="H96" s="2">
        <f t="shared" si="16"/>
        <v>0</v>
      </c>
      <c r="I96" s="2">
        <f t="shared" si="16"/>
        <v>0</v>
      </c>
      <c r="J96" s="2">
        <f t="shared" si="16"/>
        <v>0</v>
      </c>
      <c r="K96" s="2">
        <f t="shared" si="16"/>
        <v>0</v>
      </c>
      <c r="L96" s="2">
        <f t="shared" si="16"/>
        <v>0</v>
      </c>
      <c r="M96" s="2">
        <f t="shared" si="16"/>
        <v>0</v>
      </c>
      <c r="N96" s="2">
        <f t="shared" si="16"/>
        <v>0</v>
      </c>
      <c r="O96" s="2">
        <f t="shared" si="16"/>
        <v>0</v>
      </c>
      <c r="P96" s="2">
        <f t="shared" si="16"/>
        <v>0</v>
      </c>
      <c r="Q96" s="2">
        <f t="shared" si="16"/>
        <v>0</v>
      </c>
      <c r="R96" s="2">
        <f t="shared" si="16"/>
        <v>0</v>
      </c>
      <c r="S96" s="2">
        <f t="shared" si="16"/>
        <v>0</v>
      </c>
      <c r="T96" s="2">
        <f t="shared" si="16"/>
        <v>0</v>
      </c>
      <c r="U96" s="2">
        <f t="shared" si="16"/>
        <v>0</v>
      </c>
      <c r="V96" s="2">
        <f t="shared" si="16"/>
        <v>0</v>
      </c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</row>
    <row r="97" spans="1:56" ht="15.75" hidden="1">
      <c r="A97" s="27" t="s">
        <v>205</v>
      </c>
      <c r="F97" s="43">
        <f aca="true" t="shared" si="17" ref="F97:V97">F94+F95+F96+32</f>
        <v>350</v>
      </c>
      <c r="G97" s="43">
        <f t="shared" si="17"/>
        <v>350</v>
      </c>
      <c r="H97" s="43">
        <f t="shared" si="17"/>
        <v>350</v>
      </c>
      <c r="I97" s="43">
        <f t="shared" si="17"/>
        <v>350</v>
      </c>
      <c r="J97" s="43">
        <f t="shared" si="17"/>
        <v>350</v>
      </c>
      <c r="K97" s="43">
        <f t="shared" si="17"/>
        <v>350</v>
      </c>
      <c r="L97" s="43">
        <f t="shared" si="17"/>
        <v>350</v>
      </c>
      <c r="M97" s="43">
        <f t="shared" si="17"/>
        <v>350</v>
      </c>
      <c r="N97" s="43">
        <f t="shared" si="17"/>
        <v>350</v>
      </c>
      <c r="O97" s="43">
        <f t="shared" si="17"/>
        <v>350</v>
      </c>
      <c r="P97" s="43">
        <f t="shared" si="17"/>
        <v>350</v>
      </c>
      <c r="Q97" s="43">
        <f t="shared" si="17"/>
        <v>350</v>
      </c>
      <c r="R97" s="43">
        <f t="shared" si="17"/>
        <v>350</v>
      </c>
      <c r="S97" s="43">
        <f t="shared" si="17"/>
        <v>350</v>
      </c>
      <c r="T97" s="43">
        <f t="shared" si="17"/>
        <v>350</v>
      </c>
      <c r="U97" s="43">
        <f t="shared" si="17"/>
        <v>350</v>
      </c>
      <c r="V97" s="43">
        <f t="shared" si="17"/>
        <v>384</v>
      </c>
      <c r="W97" s="43"/>
      <c r="X97" s="43"/>
      <c r="Y97" s="43"/>
      <c r="Z97" s="43"/>
      <c r="AA97" s="43"/>
      <c r="AB97" s="43"/>
      <c r="AC97" s="43"/>
      <c r="AD97" s="43"/>
      <c r="AE97" s="2"/>
      <c r="AF97" s="43"/>
      <c r="AG97" s="43"/>
      <c r="AH97" s="43"/>
      <c r="AI97" s="43"/>
      <c r="AJ97" s="2"/>
      <c r="AK97" s="2"/>
      <c r="AL97" s="2"/>
      <c r="AM97" s="2"/>
      <c r="AN97" s="2"/>
      <c r="AO97" s="2"/>
      <c r="AP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</row>
    <row r="98" spans="1:56" ht="14.25" hidden="1">
      <c r="A98" s="44" t="s">
        <v>206</v>
      </c>
      <c r="F98" s="45">
        <f aca="true" t="shared" si="18" ref="F98:V98">CEILING(F97/7032,1)</f>
        <v>1</v>
      </c>
      <c r="G98" s="45">
        <f t="shared" si="18"/>
        <v>1</v>
      </c>
      <c r="H98" s="45">
        <f t="shared" si="18"/>
        <v>1</v>
      </c>
      <c r="I98" s="45">
        <f t="shared" si="18"/>
        <v>1</v>
      </c>
      <c r="J98" s="45">
        <f t="shared" si="18"/>
        <v>1</v>
      </c>
      <c r="K98" s="45">
        <f t="shared" si="18"/>
        <v>1</v>
      </c>
      <c r="L98" s="45">
        <f t="shared" si="18"/>
        <v>1</v>
      </c>
      <c r="M98" s="45">
        <f t="shared" si="18"/>
        <v>1</v>
      </c>
      <c r="N98" s="45">
        <f t="shared" si="18"/>
        <v>1</v>
      </c>
      <c r="O98" s="45">
        <f t="shared" si="18"/>
        <v>1</v>
      </c>
      <c r="P98" s="45">
        <f t="shared" si="18"/>
        <v>1</v>
      </c>
      <c r="Q98" s="45">
        <f t="shared" si="18"/>
        <v>1</v>
      </c>
      <c r="R98" s="45">
        <f t="shared" si="18"/>
        <v>1</v>
      </c>
      <c r="S98" s="45">
        <f t="shared" si="18"/>
        <v>1</v>
      </c>
      <c r="T98" s="45">
        <f t="shared" si="18"/>
        <v>1</v>
      </c>
      <c r="U98" s="45">
        <f t="shared" si="18"/>
        <v>1</v>
      </c>
      <c r="V98" s="45">
        <f t="shared" si="18"/>
        <v>1</v>
      </c>
      <c r="W98" s="45"/>
      <c r="X98" s="45"/>
      <c r="Y98" s="45"/>
      <c r="Z98" s="45"/>
      <c r="AA98" s="45"/>
      <c r="AB98" s="45"/>
      <c r="AC98" s="45"/>
      <c r="AD98" s="45"/>
      <c r="AE98" s="2"/>
      <c r="AF98" s="45"/>
      <c r="AG98" s="45"/>
      <c r="AH98" s="45"/>
      <c r="AI98" s="45"/>
      <c r="AJ98" s="2"/>
      <c r="AK98" s="2"/>
      <c r="AL98" s="2"/>
      <c r="AM98" s="2"/>
      <c r="AN98" s="2"/>
      <c r="AO98" s="2"/>
      <c r="AP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</row>
    <row r="99" spans="1:56" ht="14.25" hidden="1">
      <c r="A99" s="44" t="s">
        <v>207</v>
      </c>
      <c r="F99" s="45">
        <f aca="true" t="shared" si="19" ref="F99:V99">CEILING(F97/F98,1)*F98-F97</f>
        <v>0</v>
      </c>
      <c r="G99" s="45">
        <f t="shared" si="19"/>
        <v>0</v>
      </c>
      <c r="H99" s="45">
        <f t="shared" si="19"/>
        <v>0</v>
      </c>
      <c r="I99" s="45">
        <f t="shared" si="19"/>
        <v>0</v>
      </c>
      <c r="J99" s="45">
        <f t="shared" si="19"/>
        <v>0</v>
      </c>
      <c r="K99" s="45">
        <f t="shared" si="19"/>
        <v>0</v>
      </c>
      <c r="L99" s="45">
        <f t="shared" si="19"/>
        <v>0</v>
      </c>
      <c r="M99" s="45">
        <f t="shared" si="19"/>
        <v>0</v>
      </c>
      <c r="N99" s="45">
        <f t="shared" si="19"/>
        <v>0</v>
      </c>
      <c r="O99" s="45">
        <f t="shared" si="19"/>
        <v>0</v>
      </c>
      <c r="P99" s="45">
        <f t="shared" si="19"/>
        <v>0</v>
      </c>
      <c r="Q99" s="45">
        <f t="shared" si="19"/>
        <v>0</v>
      </c>
      <c r="R99" s="45">
        <f t="shared" si="19"/>
        <v>0</v>
      </c>
      <c r="S99" s="45">
        <f t="shared" si="19"/>
        <v>0</v>
      </c>
      <c r="T99" s="45">
        <f t="shared" si="19"/>
        <v>0</v>
      </c>
      <c r="U99" s="45">
        <f t="shared" si="19"/>
        <v>0</v>
      </c>
      <c r="V99" s="45">
        <f t="shared" si="19"/>
        <v>0</v>
      </c>
      <c r="W99" s="45"/>
      <c r="X99" s="45"/>
      <c r="Y99" s="45"/>
      <c r="Z99" s="45"/>
      <c r="AA99" s="45"/>
      <c r="AB99" s="45"/>
      <c r="AC99" s="45"/>
      <c r="AD99" s="45"/>
      <c r="AE99" s="2"/>
      <c r="AF99" s="45"/>
      <c r="AG99" s="45"/>
      <c r="AH99" s="45"/>
      <c r="AI99" s="45"/>
      <c r="AJ99" s="2"/>
      <c r="AK99" s="2"/>
      <c r="AL99" s="2"/>
      <c r="AM99" s="2"/>
      <c r="AN99" s="2"/>
      <c r="AO99" s="2"/>
      <c r="AP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</row>
    <row r="100" spans="1:56" ht="15.75" hidden="1">
      <c r="A100" s="27" t="s">
        <v>208</v>
      </c>
      <c r="F100" s="45">
        <f aca="true" t="shared" si="20" ref="F100:V100">F97+F99</f>
        <v>350</v>
      </c>
      <c r="G100" s="45">
        <f t="shared" si="20"/>
        <v>350</v>
      </c>
      <c r="H100" s="45">
        <f t="shared" si="20"/>
        <v>350</v>
      </c>
      <c r="I100" s="45">
        <f t="shared" si="20"/>
        <v>350</v>
      </c>
      <c r="J100" s="45">
        <f t="shared" si="20"/>
        <v>350</v>
      </c>
      <c r="K100" s="45">
        <f t="shared" si="20"/>
        <v>350</v>
      </c>
      <c r="L100" s="45">
        <f t="shared" si="20"/>
        <v>350</v>
      </c>
      <c r="M100" s="45">
        <f t="shared" si="20"/>
        <v>350</v>
      </c>
      <c r="N100" s="45">
        <f t="shared" si="20"/>
        <v>350</v>
      </c>
      <c r="O100" s="45">
        <f t="shared" si="20"/>
        <v>350</v>
      </c>
      <c r="P100" s="45">
        <f t="shared" si="20"/>
        <v>350</v>
      </c>
      <c r="Q100" s="45">
        <f t="shared" si="20"/>
        <v>350</v>
      </c>
      <c r="R100" s="45">
        <f t="shared" si="20"/>
        <v>350</v>
      </c>
      <c r="S100" s="45">
        <f t="shared" si="20"/>
        <v>350</v>
      </c>
      <c r="T100" s="45">
        <f t="shared" si="20"/>
        <v>350</v>
      </c>
      <c r="U100" s="45">
        <f t="shared" si="20"/>
        <v>350</v>
      </c>
      <c r="V100" s="45">
        <f t="shared" si="20"/>
        <v>384</v>
      </c>
      <c r="W100" s="45"/>
      <c r="X100" s="45"/>
      <c r="Y100" s="45"/>
      <c r="Z100" s="45"/>
      <c r="AA100" s="45"/>
      <c r="AB100" s="45"/>
      <c r="AC100" s="45"/>
      <c r="AD100" s="45"/>
      <c r="AE100" s="2"/>
      <c r="AF100" s="45"/>
      <c r="AG100" s="45"/>
      <c r="AH100" s="45"/>
      <c r="AI100" s="45"/>
      <c r="AJ100" s="2"/>
      <c r="AK100" s="2"/>
      <c r="AL100" s="2"/>
      <c r="AM100" s="2"/>
      <c r="AN100" s="2"/>
      <c r="AO100" s="2"/>
      <c r="AP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</row>
    <row r="101" spans="1:56" ht="15.75" hidden="1">
      <c r="A101" s="27" t="s">
        <v>209</v>
      </c>
      <c r="F101" s="45">
        <f aca="true" t="shared" si="21" ref="F101:V101">F100/F98</f>
        <v>350</v>
      </c>
      <c r="G101" s="45">
        <f t="shared" si="21"/>
        <v>350</v>
      </c>
      <c r="H101" s="45">
        <f t="shared" si="21"/>
        <v>350</v>
      </c>
      <c r="I101" s="45">
        <f t="shared" si="21"/>
        <v>350</v>
      </c>
      <c r="J101" s="45">
        <f t="shared" si="21"/>
        <v>350</v>
      </c>
      <c r="K101" s="45">
        <f t="shared" si="21"/>
        <v>350</v>
      </c>
      <c r="L101" s="45">
        <f t="shared" si="21"/>
        <v>350</v>
      </c>
      <c r="M101" s="45">
        <f t="shared" si="21"/>
        <v>350</v>
      </c>
      <c r="N101" s="45">
        <f t="shared" si="21"/>
        <v>350</v>
      </c>
      <c r="O101" s="45">
        <f t="shared" si="21"/>
        <v>350</v>
      </c>
      <c r="P101" s="45">
        <f t="shared" si="21"/>
        <v>350</v>
      </c>
      <c r="Q101" s="45">
        <f t="shared" si="21"/>
        <v>350</v>
      </c>
      <c r="R101" s="45">
        <f t="shared" si="21"/>
        <v>350</v>
      </c>
      <c r="S101" s="45">
        <f t="shared" si="21"/>
        <v>350</v>
      </c>
      <c r="T101" s="45">
        <f t="shared" si="21"/>
        <v>350</v>
      </c>
      <c r="U101" s="45">
        <f t="shared" si="21"/>
        <v>350</v>
      </c>
      <c r="V101" s="45">
        <f t="shared" si="21"/>
        <v>384</v>
      </c>
      <c r="W101" s="45"/>
      <c r="X101" s="45"/>
      <c r="Y101" s="45"/>
      <c r="Z101" s="45"/>
      <c r="AA101" s="45"/>
      <c r="AB101" s="45"/>
      <c r="AC101" s="45"/>
      <c r="AD101" s="45"/>
      <c r="AE101" s="2"/>
      <c r="AF101" s="45"/>
      <c r="AG101" s="45"/>
      <c r="AH101" s="45"/>
      <c r="AI101" s="45"/>
      <c r="AJ101" s="2"/>
      <c r="AK101" s="2"/>
      <c r="AL101" s="2"/>
      <c r="AM101" s="2"/>
      <c r="AN101" s="2"/>
      <c r="AO101" s="2"/>
      <c r="AP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</row>
    <row r="102" spans="1:56" ht="14.25" hidden="1">
      <c r="A102" s="44" t="s">
        <v>210</v>
      </c>
      <c r="F102" s="45">
        <f aca="true" t="shared" si="22" ref="F102:V102">FLOOR(6/5*(7032-F101),1)</f>
        <v>8018</v>
      </c>
      <c r="G102" s="45">
        <f t="shared" si="22"/>
        <v>8018</v>
      </c>
      <c r="H102" s="45">
        <f t="shared" si="22"/>
        <v>8018</v>
      </c>
      <c r="I102" s="45">
        <f t="shared" si="22"/>
        <v>8018</v>
      </c>
      <c r="J102" s="45">
        <f t="shared" si="22"/>
        <v>8018</v>
      </c>
      <c r="K102" s="45">
        <f t="shared" si="22"/>
        <v>8018</v>
      </c>
      <c r="L102" s="45">
        <f t="shared" si="22"/>
        <v>8018</v>
      </c>
      <c r="M102" s="45">
        <f t="shared" si="22"/>
        <v>8018</v>
      </c>
      <c r="N102" s="45">
        <f t="shared" si="22"/>
        <v>8018</v>
      </c>
      <c r="O102" s="45">
        <f t="shared" si="22"/>
        <v>8018</v>
      </c>
      <c r="P102" s="45">
        <f t="shared" si="22"/>
        <v>8018</v>
      </c>
      <c r="Q102" s="45">
        <f t="shared" si="22"/>
        <v>8018</v>
      </c>
      <c r="R102" s="45">
        <f t="shared" si="22"/>
        <v>8018</v>
      </c>
      <c r="S102" s="45">
        <f t="shared" si="22"/>
        <v>8018</v>
      </c>
      <c r="T102" s="45">
        <f t="shared" si="22"/>
        <v>8018</v>
      </c>
      <c r="U102" s="45">
        <f t="shared" si="22"/>
        <v>8018</v>
      </c>
      <c r="V102" s="45">
        <f t="shared" si="22"/>
        <v>7977</v>
      </c>
      <c r="W102" s="45"/>
      <c r="X102" s="45"/>
      <c r="Y102" s="45"/>
      <c r="Z102" s="45"/>
      <c r="AA102" s="45"/>
      <c r="AB102" s="45"/>
      <c r="AC102" s="45"/>
      <c r="AD102" s="45"/>
      <c r="AE102" s="2"/>
      <c r="AF102" s="45"/>
      <c r="AG102" s="45"/>
      <c r="AH102" s="45"/>
      <c r="AI102" s="45"/>
      <c r="AJ102" s="2"/>
      <c r="AK102" s="2"/>
      <c r="AL102" s="2"/>
      <c r="AM102" s="2"/>
      <c r="AN102" s="2"/>
      <c r="AO102" s="2"/>
      <c r="AP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</row>
    <row r="103" spans="1:56" ht="14.25" hidden="1">
      <c r="A103" s="44" t="s">
        <v>211</v>
      </c>
      <c r="F103" s="45">
        <f aca="true" t="shared" si="23" ref="F103:V103">F101+168+9000-F102</f>
        <v>1500</v>
      </c>
      <c r="G103" s="45">
        <f t="shared" si="23"/>
        <v>1500</v>
      </c>
      <c r="H103" s="45">
        <f t="shared" si="23"/>
        <v>1500</v>
      </c>
      <c r="I103" s="45">
        <f t="shared" si="23"/>
        <v>1500</v>
      </c>
      <c r="J103" s="45">
        <f t="shared" si="23"/>
        <v>1500</v>
      </c>
      <c r="K103" s="45">
        <f t="shared" si="23"/>
        <v>1500</v>
      </c>
      <c r="L103" s="45">
        <f t="shared" si="23"/>
        <v>1500</v>
      </c>
      <c r="M103" s="45">
        <f t="shared" si="23"/>
        <v>1500</v>
      </c>
      <c r="N103" s="45">
        <f t="shared" si="23"/>
        <v>1500</v>
      </c>
      <c r="O103" s="45">
        <f t="shared" si="23"/>
        <v>1500</v>
      </c>
      <c r="P103" s="45">
        <f t="shared" si="23"/>
        <v>1500</v>
      </c>
      <c r="Q103" s="45">
        <f t="shared" si="23"/>
        <v>1500</v>
      </c>
      <c r="R103" s="45">
        <f t="shared" si="23"/>
        <v>1500</v>
      </c>
      <c r="S103" s="45">
        <f t="shared" si="23"/>
        <v>1500</v>
      </c>
      <c r="T103" s="45">
        <f t="shared" si="23"/>
        <v>1500</v>
      </c>
      <c r="U103" s="45">
        <f t="shared" si="23"/>
        <v>1500</v>
      </c>
      <c r="V103" s="45">
        <f t="shared" si="23"/>
        <v>1575</v>
      </c>
      <c r="W103" s="45"/>
      <c r="X103" s="45"/>
      <c r="Y103" s="45"/>
      <c r="Z103" s="45"/>
      <c r="AA103" s="45"/>
      <c r="AB103" s="45"/>
      <c r="AC103" s="45"/>
      <c r="AD103" s="45"/>
      <c r="AE103" s="2"/>
      <c r="AF103" s="45"/>
      <c r="AG103" s="45"/>
      <c r="AH103" s="45"/>
      <c r="AI103" s="45"/>
      <c r="AJ103" s="2"/>
      <c r="AK103" s="2"/>
      <c r="AL103" s="2"/>
      <c r="AM103" s="2"/>
      <c r="AN103" s="2"/>
      <c r="AO103" s="2"/>
      <c r="AP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</row>
    <row r="104" spans="1:56" ht="14.25" hidden="1">
      <c r="A104" s="44" t="s">
        <v>212</v>
      </c>
      <c r="F104" s="40" t="e">
        <f>CEILING(F103/(F71*VLOOKUP('Single PLP'!F$23,ConstellationOrder,2,FALSE)),1)*F71*VLOOKUP('Single PLP'!F$23,ConstellationOrder,2,FALSE)</f>
        <v>#REF!</v>
      </c>
      <c r="G104" s="40" t="e">
        <f>CEILING(G103/(G71*VLOOKUP('Single PLP'!G$23,ConstellationOrder,2,FALSE)),1)*G71*VLOOKUP('Single PLP'!G$23,ConstellationOrder,2,FALSE)</f>
        <v>#REF!</v>
      </c>
      <c r="H104" s="40" t="e">
        <f>CEILING(H103/(H71*VLOOKUP('Single PLP'!H$23,ConstellationOrder,2,FALSE)),1)*H71*VLOOKUP('Single PLP'!H$23,ConstellationOrder,2,FALSE)</f>
        <v>#REF!</v>
      </c>
      <c r="I104" s="40" t="e">
        <f>CEILING(I103/(I71*VLOOKUP('Single PLP'!I$23,ConstellationOrder,2,FALSE)),1)*I71*VLOOKUP('Single PLP'!I$23,ConstellationOrder,2,FALSE)</f>
        <v>#REF!</v>
      </c>
      <c r="J104" s="40" t="e">
        <f>CEILING(J103/(J71*VLOOKUP('Single PLP'!J$23,ConstellationOrder,2,FALSE)),1)*J71*VLOOKUP('Single PLP'!J$23,ConstellationOrder,2,FALSE)</f>
        <v>#REF!</v>
      </c>
      <c r="K104" s="40" t="e">
        <f>CEILING(K103/(K71*VLOOKUP('Single PLP'!K$23,ConstellationOrder,2,FALSE)),1)*K71*VLOOKUP('Single PLP'!K$23,ConstellationOrder,2,FALSE)</f>
        <v>#REF!</v>
      </c>
      <c r="L104" s="40" t="e">
        <f>CEILING(L103/(L71*VLOOKUP('Single PLP'!L$23,ConstellationOrder,2,FALSE)),1)*L71*VLOOKUP('Single PLP'!L$23,ConstellationOrder,2,FALSE)</f>
        <v>#REF!</v>
      </c>
      <c r="M104" s="40" t="e">
        <f>CEILING(M103/(M71*VLOOKUP('Single PLP'!M$23,ConstellationOrder,2,FALSE)),1)*M71*VLOOKUP('Single PLP'!M$23,ConstellationOrder,2,FALSE)</f>
        <v>#REF!</v>
      </c>
      <c r="N104" s="40" t="e">
        <f>CEILING(N103/(N71*VLOOKUP('Single PLP'!N$23,ConstellationOrder,2,FALSE)),1)*N71*VLOOKUP('Single PLP'!N$23,ConstellationOrder,2,FALSE)</f>
        <v>#REF!</v>
      </c>
      <c r="O104" s="40" t="e">
        <f>CEILING(O103/(O71*VLOOKUP('Single PLP'!O$23,ConstellationOrder,2,FALSE)),1)*O71*VLOOKUP('Single PLP'!O$23,ConstellationOrder,2,FALSE)</f>
        <v>#REF!</v>
      </c>
      <c r="P104" s="40" t="e">
        <f>CEILING(P103/(P71*VLOOKUP('Single PLP'!P$23,ConstellationOrder,2,FALSE)),1)*P71*VLOOKUP('Single PLP'!P$23,ConstellationOrder,2,FALSE)</f>
        <v>#REF!</v>
      </c>
      <c r="Q104" s="40" t="e">
        <f>CEILING(Q103/(Q71*VLOOKUP('Single PLP'!Q$23,ConstellationOrder,2,FALSE)),1)*Q71*VLOOKUP('Single PLP'!Q$23,ConstellationOrder,2,FALSE)</f>
        <v>#REF!</v>
      </c>
      <c r="R104" s="40" t="e">
        <f>CEILING(R103/(R71*VLOOKUP('Single PLP'!R$23,ConstellationOrder,2,FALSE)),1)*R71*VLOOKUP('Single PLP'!R$23,ConstellationOrder,2,FALSE)</f>
        <v>#REF!</v>
      </c>
      <c r="S104" s="40" t="e">
        <f>CEILING(S103/(S71*VLOOKUP('Single PLP'!S$23,ConstellationOrder,2,FALSE)),1)*S71*VLOOKUP('Single PLP'!S$23,ConstellationOrder,2,FALSE)</f>
        <v>#REF!</v>
      </c>
      <c r="T104" s="40" t="e">
        <f>CEILING(T103/(T71*VLOOKUP('Single PLP'!T$23,ConstellationOrder,2,FALSE)),1)*T71*VLOOKUP('Single PLP'!T$23,ConstellationOrder,2,FALSE)</f>
        <v>#REF!</v>
      </c>
      <c r="U104" s="40" t="e">
        <f>CEILING(U103/(U71*VLOOKUP('Single PLP'!U$23,ConstellationOrder,2,FALSE)),1)*U71*VLOOKUP('Single PLP'!U$23,ConstellationOrder,2,FALSE)</f>
        <v>#REF!</v>
      </c>
      <c r="V104" s="40" t="e">
        <f>CEILING(V103/(V71*VLOOKUP('Single PLP'!V$23,ConstellationOrder,2,FALSE)),1)*V71*VLOOKUP('Single PLP'!V$23,ConstellationOrder,2,FALSE)</f>
        <v>#REF!</v>
      </c>
      <c r="W104" s="40"/>
      <c r="X104" s="40"/>
      <c r="Y104" s="40"/>
      <c r="Z104" s="40"/>
      <c r="AA104" s="40"/>
      <c r="AB104" s="40"/>
      <c r="AC104" s="40"/>
      <c r="AD104" s="40"/>
      <c r="AE104" s="2"/>
      <c r="AF104" s="40"/>
      <c r="AG104" s="40"/>
      <c r="AH104" s="40"/>
      <c r="AI104" s="40"/>
      <c r="AJ104" s="2"/>
      <c r="AK104" s="2"/>
      <c r="AL104" s="2"/>
      <c r="AM104" s="2"/>
      <c r="AN104" s="2"/>
      <c r="AO104" s="2"/>
      <c r="AP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</row>
    <row r="105" spans="1:56" ht="14.25" hidden="1">
      <c r="A105" s="44" t="s">
        <v>213</v>
      </c>
      <c r="F105" s="2" t="e">
        <f aca="true" t="shared" si="24" ref="F105:V105">F102-(F104-F103)</f>
        <v>#REF!</v>
      </c>
      <c r="G105" s="2" t="e">
        <f t="shared" si="24"/>
        <v>#REF!</v>
      </c>
      <c r="H105" s="2" t="e">
        <f t="shared" si="24"/>
        <v>#REF!</v>
      </c>
      <c r="I105" s="2" t="e">
        <f t="shared" si="24"/>
        <v>#REF!</v>
      </c>
      <c r="J105" s="2" t="e">
        <f t="shared" si="24"/>
        <v>#REF!</v>
      </c>
      <c r="K105" s="2" t="e">
        <f t="shared" si="24"/>
        <v>#REF!</v>
      </c>
      <c r="L105" s="2" t="e">
        <f t="shared" si="24"/>
        <v>#REF!</v>
      </c>
      <c r="M105" s="2" t="e">
        <f t="shared" si="24"/>
        <v>#REF!</v>
      </c>
      <c r="N105" s="2" t="e">
        <f t="shared" si="24"/>
        <v>#REF!</v>
      </c>
      <c r="O105" s="2" t="e">
        <f t="shared" si="24"/>
        <v>#REF!</v>
      </c>
      <c r="P105" s="2" t="e">
        <f t="shared" si="24"/>
        <v>#REF!</v>
      </c>
      <c r="Q105" s="2" t="e">
        <f t="shared" si="24"/>
        <v>#REF!</v>
      </c>
      <c r="R105" s="2" t="e">
        <f t="shared" si="24"/>
        <v>#REF!</v>
      </c>
      <c r="S105" s="2" t="e">
        <f t="shared" si="24"/>
        <v>#REF!</v>
      </c>
      <c r="T105" s="2" t="e">
        <f t="shared" si="24"/>
        <v>#REF!</v>
      </c>
      <c r="U105" s="2" t="e">
        <f t="shared" si="24"/>
        <v>#REF!</v>
      </c>
      <c r="V105" s="2" t="e">
        <f t="shared" si="24"/>
        <v>#REF!</v>
      </c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</row>
    <row r="106" spans="1:56" ht="14.25" hidden="1">
      <c r="A106" s="46" t="s">
        <v>214</v>
      </c>
      <c r="F106" s="40" t="e">
        <f>F104/VLOOKUP('Single PLP'!F$23,ConstellationOrder,2,FALSE)</f>
        <v>#REF!</v>
      </c>
      <c r="G106" s="40" t="e">
        <f>G104/VLOOKUP('Single PLP'!G$23,ConstellationOrder,2,FALSE)</f>
        <v>#REF!</v>
      </c>
      <c r="H106" s="40" t="e">
        <f>H104/VLOOKUP('Single PLP'!H$23,ConstellationOrder,2,FALSE)</f>
        <v>#REF!</v>
      </c>
      <c r="I106" s="40" t="e">
        <f>I104/VLOOKUP('Single PLP'!I$23,ConstellationOrder,2,FALSE)</f>
        <v>#REF!</v>
      </c>
      <c r="J106" s="40" t="e">
        <f>J104/VLOOKUP('Single PLP'!J$23,ConstellationOrder,2,FALSE)</f>
        <v>#REF!</v>
      </c>
      <c r="K106" s="40" t="e">
        <f>K104/VLOOKUP('Single PLP'!K$23,ConstellationOrder,2,FALSE)</f>
        <v>#REF!</v>
      </c>
      <c r="L106" s="40" t="e">
        <f>L104/VLOOKUP('Single PLP'!L$23,ConstellationOrder,2,FALSE)</f>
        <v>#REF!</v>
      </c>
      <c r="M106" s="40" t="e">
        <f>M104/VLOOKUP('Single PLP'!M$23,ConstellationOrder,2,FALSE)</f>
        <v>#REF!</v>
      </c>
      <c r="N106" s="40" t="e">
        <f>N104/VLOOKUP('Single PLP'!N$23,ConstellationOrder,2,FALSE)</f>
        <v>#REF!</v>
      </c>
      <c r="O106" s="40" t="e">
        <f>O104/VLOOKUP('Single PLP'!O$23,ConstellationOrder,2,FALSE)</f>
        <v>#REF!</v>
      </c>
      <c r="P106" s="40" t="e">
        <f>P104/VLOOKUP('Single PLP'!P$23,ConstellationOrder,2,FALSE)</f>
        <v>#REF!</v>
      </c>
      <c r="Q106" s="40" t="e">
        <f>Q104/VLOOKUP('Single PLP'!Q$23,ConstellationOrder,2,FALSE)</f>
        <v>#REF!</v>
      </c>
      <c r="R106" s="40" t="e">
        <f>R104/VLOOKUP('Single PLP'!R$23,ConstellationOrder,2,FALSE)</f>
        <v>#REF!</v>
      </c>
      <c r="S106" s="40" t="e">
        <f>S104/VLOOKUP('Single PLP'!S$23,ConstellationOrder,2,FALSE)</f>
        <v>#REF!</v>
      </c>
      <c r="T106" s="40" t="e">
        <f>T104/VLOOKUP('Single PLP'!T$23,ConstellationOrder,2,FALSE)</f>
        <v>#REF!</v>
      </c>
      <c r="U106" s="40" t="e">
        <f>U104/VLOOKUP('Single PLP'!U$23,ConstellationOrder,2,FALSE)</f>
        <v>#REF!</v>
      </c>
      <c r="V106" s="40" t="e">
        <f>V104/VLOOKUP('Single PLP'!V$23,ConstellationOrder,2,FALSE)</f>
        <v>#REF!</v>
      </c>
      <c r="W106" s="40"/>
      <c r="X106" s="40"/>
      <c r="Y106" s="40"/>
      <c r="Z106" s="40"/>
      <c r="AA106" s="40"/>
      <c r="AB106" s="40"/>
      <c r="AC106" s="40"/>
      <c r="AD106" s="40"/>
      <c r="AE106" s="2"/>
      <c r="AF106" s="40"/>
      <c r="AG106" s="40"/>
      <c r="AH106" s="40"/>
      <c r="AI106" s="40"/>
      <c r="AJ106" s="2"/>
      <c r="AK106" s="2"/>
      <c r="AL106" s="2"/>
      <c r="AM106" s="2"/>
      <c r="AN106" s="2"/>
      <c r="AO106" s="2"/>
      <c r="AP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</row>
    <row r="107" spans="6:56" ht="12.75"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</row>
    <row r="108" spans="6:56" ht="12.75"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</row>
    <row r="109" spans="6:56" ht="12.75"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</row>
    <row r="110" spans="6:56" ht="12.75"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</row>
    <row r="111" spans="6:56" ht="12.75"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</row>
    <row r="112" spans="6:56" ht="12.75"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</row>
    <row r="113" spans="6:56" ht="12.75"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</row>
    <row r="114" spans="6:56" ht="12.75"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</row>
    <row r="115" spans="6:56" ht="12.75"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</row>
    <row r="116" spans="6:56" ht="12.75"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</row>
    <row r="117" spans="6:56" ht="12.75"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</row>
    <row r="118" spans="6:56" ht="12.75"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</row>
    <row r="119" spans="6:56" ht="12.75"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</row>
    <row r="120" spans="6:56" ht="12.75"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</row>
    <row r="121" spans="6:56" ht="12.75"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</row>
    <row r="122" spans="6:56" ht="12.75"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</row>
    <row r="123" spans="6:56" ht="12.75"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</row>
    <row r="124" spans="6:56" ht="12.75"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</row>
    <row r="125" spans="6:56" ht="12.75"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</row>
    <row r="126" spans="6:56" ht="12.75"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</row>
    <row r="127" spans="6:56" ht="12.75"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</row>
    <row r="128" spans="6:56" ht="12.75"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</row>
    <row r="129" spans="6:56" ht="12.75"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</row>
    <row r="130" spans="6:56" ht="12.75"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</row>
    <row r="131" spans="6:56" ht="12.75"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</row>
    <row r="132" spans="6:56" ht="12.75"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</row>
    <row r="133" spans="6:56" ht="12.75"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</row>
    <row r="134" spans="6:56" ht="12.75"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</row>
    <row r="135" spans="6:56" ht="12.75"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</row>
    <row r="136" spans="6:56" ht="12.75"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</row>
    <row r="137" spans="6:56" ht="12.75"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</row>
    <row r="138" spans="6:56" ht="12.75"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</row>
    <row r="139" spans="6:56" ht="12.75"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</row>
    <row r="140" spans="6:56" ht="12.75"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</row>
    <row r="141" spans="6:56" ht="12.75"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</row>
    <row r="142" spans="6:56" ht="12.75"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</row>
    <row r="143" spans="6:56" ht="12.75"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</row>
    <row r="144" spans="6:56" ht="12.75"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</row>
    <row r="145" spans="6:56" ht="12.75"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</row>
    <row r="146" spans="6:56" ht="12.75"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</row>
    <row r="147" spans="6:56" ht="12.75"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</row>
    <row r="148" spans="6:56" ht="12.75"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</row>
    <row r="149" spans="6:56" ht="12.75"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</row>
    <row r="150" spans="6:56" ht="12.75"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</row>
    <row r="151" spans="6:56" ht="12.75"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</row>
    <row r="152" spans="6:56" ht="12.75"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</row>
    <row r="153" spans="6:56" ht="12.75"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</row>
    <row r="154" spans="6:56" ht="12.75"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</row>
    <row r="155" spans="6:56" ht="12.75"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</row>
    <row r="156" spans="6:56" ht="12.75"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</row>
    <row r="157" spans="6:56" ht="12.75"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</row>
    <row r="158" spans="6:56" ht="12.75"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</row>
    <row r="159" spans="6:56" ht="12.75"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</row>
    <row r="160" spans="6:56" ht="12.75"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</row>
    <row r="161" spans="6:56" ht="12.75"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</row>
    <row r="162" spans="6:56" ht="12.75"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</row>
    <row r="163" spans="6:56" ht="12.75"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</row>
    <row r="164" spans="6:56" ht="12.75"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</row>
    <row r="165" spans="6:56" ht="12.75"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</row>
    <row r="166" spans="6:56" ht="12.75"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</row>
    <row r="167" spans="6:56" ht="12.75"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</row>
    <row r="168" spans="6:56" ht="12.75"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</row>
    <row r="169" spans="6:56" ht="12.75"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</row>
    <row r="170" spans="6:56" ht="12.75"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</row>
    <row r="171" spans="6:56" ht="12.75"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</row>
    <row r="172" spans="6:56" ht="12.75"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</row>
    <row r="173" spans="6:56" ht="12.75"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</row>
    <row r="174" spans="6:56" ht="12.75"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</row>
    <row r="175" spans="6:56" ht="12.75"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</row>
    <row r="176" spans="6:56" ht="12.75"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</row>
    <row r="177" spans="6:56" ht="12.75"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</row>
    <row r="178" spans="6:56" ht="12.75"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</row>
    <row r="179" spans="6:56" ht="12.75"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</row>
    <row r="180" spans="6:56" ht="12.75"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</row>
    <row r="181" spans="6:56" ht="12.75"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</row>
    <row r="182" spans="6:56" ht="12.75"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</row>
    <row r="183" spans="6:56" ht="12.75"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</row>
    <row r="184" spans="6:56" ht="12.75"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</row>
    <row r="185" spans="6:56" ht="12.75"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</row>
    <row r="186" spans="6:56" ht="12.75"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</row>
    <row r="187" spans="6:56" ht="12.75"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</row>
    <row r="188" spans="6:56" ht="12.75"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</row>
    <row r="189" spans="6:56" ht="12.75"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</row>
    <row r="190" spans="6:56" ht="12.75"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</row>
    <row r="191" spans="6:56" ht="12.75"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</row>
    <row r="192" spans="6:56" ht="12.75"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</row>
    <row r="193" spans="6:56" ht="12.75"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</row>
    <row r="194" spans="6:56" ht="12.75"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</row>
    <row r="195" spans="6:56" ht="12.75"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</row>
    <row r="196" spans="6:56" ht="12.75"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</row>
    <row r="197" spans="6:56" ht="12.75"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</row>
    <row r="198" spans="6:56" ht="12.75"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</row>
    <row r="199" spans="6:56" ht="12.75"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</row>
    <row r="200" spans="6:56" ht="12.75"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</row>
    <row r="201" spans="6:56" ht="12.75"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</row>
    <row r="202" spans="6:56" ht="12.75"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</row>
    <row r="203" spans="6:56" ht="12.75"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</row>
    <row r="204" spans="6:56" ht="12.75"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</row>
    <row r="205" spans="6:56" ht="12.75"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</row>
    <row r="206" spans="6:56" ht="12.75"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</row>
    <row r="207" spans="6:56" ht="12.75"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</row>
    <row r="208" spans="6:56" ht="12.75"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</row>
    <row r="209" spans="6:56" ht="12.75"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</row>
    <row r="210" spans="6:56" ht="12.75"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</row>
  </sheetData>
  <sheetProtection/>
  <conditionalFormatting sqref="C11 D11:U63 D67:U69 V11:V64 V66:AI69 W11:AL63 AF70 AJ67:AL69 AM11:AP64 AM66:AP69 AQ11 AR11:CX69">
    <cfRule type="cellIs" priority="1" dxfId="0" operator="notEqual" stopIfTrue="1">
      <formula>$C11</formula>
    </cfRule>
  </conditionalFormatting>
  <printOptions/>
  <pageMargins left="0.7875" right="0.7875" top="0.5118055555555555" bottom="0.5118055555555555" header="0.5118055555555555" footer="0.5118055555555555"/>
  <pageSetup fitToHeight="1" fitToWidth="1" horizontalDpi="300" verticalDpi="300" orientation="landscape" paperSize="8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25"/>
  <sheetViews>
    <sheetView zoomScalePageLayoutView="0" workbookViewId="0" topLeftCell="A1">
      <pane xSplit="2" ySplit="8" topLeftCell="C129" activePane="bottomRight" state="frozen"/>
      <selection pane="topLeft" activeCell="A1" sqref="A1"/>
      <selection pane="topRight" activeCell="BJ1" sqref="AR1:BJ16384"/>
      <selection pane="bottomLeft" activeCell="AG302" sqref="AG302"/>
      <selection pane="bottomRight" activeCell="A291" sqref="A291"/>
    </sheetView>
  </sheetViews>
  <sheetFormatPr defaultColWidth="9.140625" defaultRowHeight="12.75"/>
  <cols>
    <col min="1" max="1" width="31.421875" style="47" customWidth="1"/>
    <col min="2" max="2" width="26.7109375" style="47" customWidth="1"/>
    <col min="3" max="3" width="24.00390625" style="47" customWidth="1"/>
    <col min="4" max="4" width="18.57421875" style="25" customWidth="1"/>
    <col min="5" max="5" width="20.28125" style="25" customWidth="1"/>
    <col min="6" max="11" width="18.57421875" style="25" customWidth="1"/>
    <col min="12" max="12" width="18.421875" style="48" customWidth="1"/>
    <col min="13" max="13" width="24.00390625" style="47" customWidth="1"/>
    <col min="14" max="14" width="19.00390625" style="48" customWidth="1"/>
    <col min="15" max="15" width="23.57421875" style="25" customWidth="1"/>
    <col min="16" max="16" width="19.7109375" style="48" customWidth="1"/>
    <col min="17" max="18" width="18.57421875" style="25" customWidth="1"/>
    <col min="19" max="23" width="18.57421875" style="48" customWidth="1"/>
    <col min="24" max="16384" width="9.140625" style="48" customWidth="1"/>
  </cols>
  <sheetData>
    <row r="1" spans="1:23" ht="12.75">
      <c r="A1" s="49"/>
      <c r="B1" s="49" t="s">
        <v>0</v>
      </c>
      <c r="C1" s="49"/>
      <c r="D1" s="49"/>
      <c r="L1" s="25"/>
      <c r="M1" s="25"/>
      <c r="N1" s="25"/>
      <c r="O1" s="48"/>
      <c r="Q1" s="48"/>
      <c r="R1" s="49"/>
      <c r="S1" s="25"/>
      <c r="V1" s="25"/>
      <c r="W1" s="25"/>
    </row>
    <row r="2" spans="1:23" ht="12.75">
      <c r="A2" s="50" t="s">
        <v>1</v>
      </c>
      <c r="B2" s="47" t="s">
        <v>366</v>
      </c>
      <c r="D2" s="47"/>
      <c r="L2" s="25"/>
      <c r="M2" s="25"/>
      <c r="N2" s="25"/>
      <c r="O2" s="48"/>
      <c r="Q2" s="48"/>
      <c r="R2" s="47"/>
      <c r="S2" s="25"/>
      <c r="V2" s="25"/>
      <c r="W2" s="25"/>
    </row>
    <row r="3" spans="4:23" ht="12.75">
      <c r="D3" s="47"/>
      <c r="E3" s="51"/>
      <c r="F3" s="51"/>
      <c r="G3" s="51"/>
      <c r="H3" s="51"/>
      <c r="I3" s="51"/>
      <c r="J3" s="51"/>
      <c r="L3" s="25"/>
      <c r="M3" s="51"/>
      <c r="N3" s="51"/>
      <c r="O3" s="48"/>
      <c r="Q3" s="48"/>
      <c r="R3" s="47"/>
      <c r="S3" s="51"/>
      <c r="V3" s="51"/>
      <c r="W3" s="51"/>
    </row>
    <row r="4" spans="1:23" ht="18">
      <c r="A4" s="52" t="s">
        <v>3</v>
      </c>
      <c r="B4" s="52" t="s">
        <v>4</v>
      </c>
      <c r="C4" s="52"/>
      <c r="D4" s="52"/>
      <c r="E4" s="53"/>
      <c r="F4" s="53"/>
      <c r="G4" s="53"/>
      <c r="H4" s="54"/>
      <c r="I4" s="53"/>
      <c r="J4" s="53"/>
      <c r="K4" s="53"/>
      <c r="L4" s="53"/>
      <c r="M4" s="54"/>
      <c r="N4" s="54"/>
      <c r="O4" s="48"/>
      <c r="Q4" s="48"/>
      <c r="R4" s="52"/>
      <c r="S4" s="54"/>
      <c r="V4" s="54"/>
      <c r="W4" s="54"/>
    </row>
    <row r="5" spans="1:23" ht="18">
      <c r="A5" s="52"/>
      <c r="B5" s="101"/>
      <c r="D5" s="52"/>
      <c r="E5" s="55"/>
      <c r="F5" s="55"/>
      <c r="G5" s="55"/>
      <c r="H5" s="55"/>
      <c r="I5" s="55"/>
      <c r="J5" s="55"/>
      <c r="K5" s="55"/>
      <c r="L5" s="55"/>
      <c r="M5" s="55"/>
      <c r="N5" s="55"/>
      <c r="O5" s="48"/>
      <c r="Q5" s="48"/>
      <c r="R5" s="52"/>
      <c r="S5" s="55"/>
      <c r="V5" s="55"/>
      <c r="W5" s="55"/>
    </row>
    <row r="6" spans="1:23" s="59" customFormat="1" ht="12.75" customHeight="1">
      <c r="A6" s="56"/>
      <c r="B6" s="57" t="s">
        <v>5</v>
      </c>
      <c r="C6" s="90"/>
      <c r="D6" s="57"/>
      <c r="E6" s="58">
        <v>450</v>
      </c>
      <c r="F6" s="58">
        <v>451</v>
      </c>
      <c r="G6" s="58">
        <v>452</v>
      </c>
      <c r="H6" s="58">
        <v>453</v>
      </c>
      <c r="I6" s="58">
        <v>454</v>
      </c>
      <c r="J6" s="58">
        <v>455</v>
      </c>
      <c r="K6" s="58">
        <v>456</v>
      </c>
      <c r="L6" s="58">
        <v>457</v>
      </c>
      <c r="M6" s="58">
        <v>458</v>
      </c>
      <c r="N6" s="58">
        <v>459</v>
      </c>
      <c r="O6" s="58">
        <v>460</v>
      </c>
      <c r="P6" s="58">
        <v>461</v>
      </c>
      <c r="Q6" s="58">
        <v>462</v>
      </c>
      <c r="R6" s="58">
        <v>463</v>
      </c>
      <c r="S6" s="58">
        <v>464</v>
      </c>
      <c r="T6" s="58">
        <v>465</v>
      </c>
      <c r="U6" s="58">
        <v>466</v>
      </c>
      <c r="V6" s="58">
        <v>467</v>
      </c>
      <c r="W6" s="58">
        <v>468</v>
      </c>
    </row>
    <row r="7" spans="1:23" ht="12.75" customHeight="1">
      <c r="A7" s="52"/>
      <c r="B7" s="60" t="s">
        <v>6</v>
      </c>
      <c r="C7" s="13"/>
      <c r="D7" s="60"/>
      <c r="E7" s="54" t="s">
        <v>215</v>
      </c>
      <c r="F7" s="54" t="s">
        <v>216</v>
      </c>
      <c r="G7" s="54" t="s">
        <v>102</v>
      </c>
      <c r="H7" s="54" t="s">
        <v>217</v>
      </c>
      <c r="I7" s="54" t="s">
        <v>218</v>
      </c>
      <c r="J7" s="54" t="s">
        <v>219</v>
      </c>
      <c r="K7" s="54" t="s">
        <v>220</v>
      </c>
      <c r="L7" s="54" t="s">
        <v>221</v>
      </c>
      <c r="M7" s="54" t="s">
        <v>222</v>
      </c>
      <c r="N7" s="54" t="s">
        <v>223</v>
      </c>
      <c r="O7" s="54" t="s">
        <v>224</v>
      </c>
      <c r="P7" s="54" t="s">
        <v>225</v>
      </c>
      <c r="Q7" s="54" t="s">
        <v>226</v>
      </c>
      <c r="R7" s="89" t="s">
        <v>347</v>
      </c>
      <c r="S7" s="54" t="s">
        <v>317</v>
      </c>
      <c r="T7" s="89" t="s">
        <v>318</v>
      </c>
      <c r="U7" s="89" t="s">
        <v>319</v>
      </c>
      <c r="V7" s="54" t="s">
        <v>348</v>
      </c>
      <c r="W7" s="54" t="s">
        <v>163</v>
      </c>
    </row>
    <row r="8" spans="1:23" s="61" customFormat="1" ht="18">
      <c r="A8" s="52"/>
      <c r="B8" s="60" t="s">
        <v>30</v>
      </c>
      <c r="C8" s="6"/>
      <c r="D8" s="60"/>
      <c r="E8" s="6" t="str">
        <f aca="true" t="shared" si="0" ref="E8:W8">"VV"&amp;TEXT(E6,"000")&amp;"-"&amp;E7</f>
        <v>VV450-MPLP1</v>
      </c>
      <c r="F8" s="6" t="str">
        <f t="shared" si="0"/>
        <v>VV451-RATE56</v>
      </c>
      <c r="G8" s="6" t="str">
        <f t="shared" si="0"/>
        <v>VV452-QPSK</v>
      </c>
      <c r="H8" s="6" t="str">
        <f t="shared" si="0"/>
        <v>VV453-2GRPS</v>
      </c>
      <c r="I8" s="6" t="str">
        <f t="shared" si="0"/>
        <v>VV454-PI2</v>
      </c>
      <c r="J8" s="6" t="str">
        <f t="shared" si="0"/>
        <v>VV455-5MHZ</v>
      </c>
      <c r="K8" s="6" t="str">
        <f t="shared" si="0"/>
        <v>VV456-RES</v>
      </c>
      <c r="L8" s="6" t="str">
        <f t="shared" si="0"/>
        <v>VV457-EXT</v>
      </c>
      <c r="M8" s="6" t="str">
        <f t="shared" si="0"/>
        <v>VV458-ALG-TST</v>
      </c>
      <c r="N8" s="6" t="str">
        <f t="shared" si="0"/>
        <v>VV459-BIASCELLS</v>
      </c>
      <c r="O8" s="6" t="str">
        <f t="shared" si="0"/>
        <v>VV460-L1-ACE</v>
      </c>
      <c r="P8" s="6" t="str">
        <f t="shared" si="0"/>
        <v>VV461-L1-ACE2</v>
      </c>
      <c r="Q8" s="6" t="str">
        <f t="shared" si="0"/>
        <v>VV462-L1REP</v>
      </c>
      <c r="R8" s="6" t="str">
        <f>"VV"&amp;TEXT(R6,"000")&amp;"-"&amp;R7</f>
        <v>VV463-MBSTATIC</v>
      </c>
      <c r="S8" s="6" t="str">
        <f t="shared" si="0"/>
        <v>VV464-SIMP-2GRPS</v>
      </c>
      <c r="T8" s="6" t="str">
        <f t="shared" si="0"/>
        <v>VV465-NO-FEF</v>
      </c>
      <c r="U8" s="6" t="str">
        <f t="shared" si="0"/>
        <v>VV466-IJUMP1</v>
      </c>
      <c r="V8" s="6" t="str">
        <f t="shared" si="0"/>
        <v>VV467-MPLP-MISO</v>
      </c>
      <c r="W8" s="6" t="str">
        <f t="shared" si="0"/>
        <v>VV468-NM</v>
      </c>
    </row>
    <row r="9" spans="1:23" ht="45.75">
      <c r="A9" s="52"/>
      <c r="B9" s="62" t="s">
        <v>227</v>
      </c>
      <c r="C9" s="15"/>
      <c r="D9" s="62"/>
      <c r="E9" s="63" t="s">
        <v>228</v>
      </c>
      <c r="F9" s="63" t="s">
        <v>229</v>
      </c>
      <c r="G9" s="63" t="s">
        <v>230</v>
      </c>
      <c r="H9" s="63" t="s">
        <v>231</v>
      </c>
      <c r="I9" s="63" t="s">
        <v>232</v>
      </c>
      <c r="J9" s="63" t="s">
        <v>233</v>
      </c>
      <c r="K9" s="63" t="s">
        <v>333</v>
      </c>
      <c r="L9" s="63" t="s">
        <v>334</v>
      </c>
      <c r="M9" s="63" t="s">
        <v>234</v>
      </c>
      <c r="N9" s="63" t="s">
        <v>335</v>
      </c>
      <c r="O9" s="63" t="s">
        <v>336</v>
      </c>
      <c r="P9" s="63" t="s">
        <v>337</v>
      </c>
      <c r="Q9" s="63" t="s">
        <v>338</v>
      </c>
      <c r="R9" s="62" t="s">
        <v>339</v>
      </c>
      <c r="S9" s="63" t="s">
        <v>320</v>
      </c>
      <c r="T9" s="63" t="s">
        <v>321</v>
      </c>
      <c r="U9" s="63" t="s">
        <v>322</v>
      </c>
      <c r="V9" s="63" t="s">
        <v>352</v>
      </c>
      <c r="W9" s="63" t="s">
        <v>353</v>
      </c>
    </row>
    <row r="10" spans="1:23" ht="15.75">
      <c r="A10" s="64" t="s">
        <v>235</v>
      </c>
      <c r="B10" s="65"/>
      <c r="C10" s="91"/>
      <c r="D10" s="65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</row>
    <row r="11" spans="1:23" s="59" customFormat="1" ht="26.25">
      <c r="A11" s="67" t="s">
        <v>236</v>
      </c>
      <c r="B11" s="62"/>
      <c r="C11" s="92"/>
      <c r="D11" s="62"/>
      <c r="E11" s="68" t="s">
        <v>237</v>
      </c>
      <c r="F11" s="68" t="s">
        <v>237</v>
      </c>
      <c r="G11" s="68" t="s">
        <v>237</v>
      </c>
      <c r="H11" s="68" t="s">
        <v>237</v>
      </c>
      <c r="I11" s="68" t="s">
        <v>237</v>
      </c>
      <c r="J11" s="68" t="s">
        <v>237</v>
      </c>
      <c r="K11" s="68" t="s">
        <v>237</v>
      </c>
      <c r="L11" s="68" t="s">
        <v>237</v>
      </c>
      <c r="M11" s="68" t="s">
        <v>237</v>
      </c>
      <c r="N11" s="68" t="s">
        <v>237</v>
      </c>
      <c r="O11" s="68" t="s">
        <v>237</v>
      </c>
      <c r="P11" s="68" t="s">
        <v>237</v>
      </c>
      <c r="Q11" s="68" t="s">
        <v>237</v>
      </c>
      <c r="R11" s="59" t="s">
        <v>340</v>
      </c>
      <c r="S11" s="68" t="s">
        <v>237</v>
      </c>
      <c r="T11" s="68" t="s">
        <v>237</v>
      </c>
      <c r="U11" s="68" t="s">
        <v>237</v>
      </c>
      <c r="V11" s="68" t="s">
        <v>237</v>
      </c>
      <c r="W11" s="68" t="s">
        <v>237</v>
      </c>
    </row>
    <row r="12" spans="1:23" ht="15.75">
      <c r="A12" s="67" t="s">
        <v>238</v>
      </c>
      <c r="B12" s="62" t="s">
        <v>239</v>
      </c>
      <c r="C12" s="93"/>
      <c r="D12" s="62"/>
      <c r="E12" s="69">
        <v>36</v>
      </c>
      <c r="F12" s="69">
        <v>47.4</v>
      </c>
      <c r="G12" s="69">
        <v>6</v>
      </c>
      <c r="H12" s="69" t="s">
        <v>240</v>
      </c>
      <c r="I12" s="69">
        <v>36.7</v>
      </c>
      <c r="J12" s="69">
        <v>3.8</v>
      </c>
      <c r="K12" s="69" t="s">
        <v>240</v>
      </c>
      <c r="L12" s="69" t="s">
        <v>240</v>
      </c>
      <c r="M12" s="69">
        <v>40</v>
      </c>
      <c r="N12" s="69" t="s">
        <v>240</v>
      </c>
      <c r="O12" s="69" t="s">
        <v>241</v>
      </c>
      <c r="P12" s="69" t="s">
        <v>242</v>
      </c>
      <c r="Q12" s="69">
        <v>36</v>
      </c>
      <c r="R12" s="48"/>
      <c r="S12" s="69" t="s">
        <v>240</v>
      </c>
      <c r="T12" s="69" t="s">
        <v>240</v>
      </c>
      <c r="U12" s="69" t="s">
        <v>240</v>
      </c>
      <c r="V12" s="104">
        <v>25.95</v>
      </c>
      <c r="W12" s="104">
        <v>25.95</v>
      </c>
    </row>
    <row r="13" spans="1:23" ht="15.75">
      <c r="A13" s="67" t="s">
        <v>323</v>
      </c>
      <c r="B13" s="62"/>
      <c r="C13" s="101"/>
      <c r="D13" s="62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48"/>
      <c r="S13" s="74"/>
      <c r="T13" s="74"/>
      <c r="U13" s="74"/>
      <c r="V13" s="74"/>
      <c r="W13" s="74"/>
    </row>
    <row r="14" spans="1:23" ht="30.75" customHeight="1">
      <c r="A14" s="67" t="s">
        <v>243</v>
      </c>
      <c r="B14" s="62" t="s">
        <v>244</v>
      </c>
      <c r="C14" s="94"/>
      <c r="D14" s="62"/>
      <c r="E14" s="68">
        <v>11</v>
      </c>
      <c r="F14" s="68">
        <v>17</v>
      </c>
      <c r="G14" s="68">
        <v>12</v>
      </c>
      <c r="H14" s="68" t="s">
        <v>327</v>
      </c>
      <c r="I14" s="68">
        <v>22</v>
      </c>
      <c r="J14" s="68">
        <v>13</v>
      </c>
      <c r="K14" s="68" t="s">
        <v>327</v>
      </c>
      <c r="L14" s="68" t="s">
        <v>327</v>
      </c>
      <c r="M14" s="68">
        <v>7</v>
      </c>
      <c r="N14" s="68" t="s">
        <v>327</v>
      </c>
      <c r="O14" s="68" t="s">
        <v>329</v>
      </c>
      <c r="P14" s="68" t="s">
        <v>331</v>
      </c>
      <c r="Q14" s="68">
        <v>11</v>
      </c>
      <c r="R14" s="48"/>
      <c r="S14" s="68" t="s">
        <v>327</v>
      </c>
      <c r="T14" s="68" t="s">
        <v>327</v>
      </c>
      <c r="U14" s="68" t="s">
        <v>327</v>
      </c>
      <c r="V14" s="68" t="s">
        <v>349</v>
      </c>
      <c r="W14" s="68" t="s">
        <v>349</v>
      </c>
    </row>
    <row r="15" spans="1:23" ht="30.75" customHeight="1">
      <c r="A15" s="67" t="s">
        <v>245</v>
      </c>
      <c r="B15" s="62" t="s">
        <v>246</v>
      </c>
      <c r="C15" s="94"/>
      <c r="D15" s="62"/>
      <c r="E15" s="68">
        <v>6</v>
      </c>
      <c r="F15" s="68">
        <v>6</v>
      </c>
      <c r="G15" s="68">
        <v>6</v>
      </c>
      <c r="H15" s="68" t="s">
        <v>328</v>
      </c>
      <c r="I15" s="68">
        <v>5</v>
      </c>
      <c r="J15" s="68">
        <v>5</v>
      </c>
      <c r="K15" s="68" t="s">
        <v>328</v>
      </c>
      <c r="L15" s="68" t="s">
        <v>328</v>
      </c>
      <c r="M15" s="68">
        <v>1</v>
      </c>
      <c r="N15" s="68" t="s">
        <v>328</v>
      </c>
      <c r="O15" s="68" t="s">
        <v>330</v>
      </c>
      <c r="P15" s="68" t="s">
        <v>332</v>
      </c>
      <c r="Q15" s="68">
        <v>6</v>
      </c>
      <c r="R15" s="48"/>
      <c r="S15" s="68" t="s">
        <v>328</v>
      </c>
      <c r="T15" s="68" t="s">
        <v>328</v>
      </c>
      <c r="U15" s="68" t="s">
        <v>328</v>
      </c>
      <c r="V15" s="68" t="s">
        <v>350</v>
      </c>
      <c r="W15" s="68" t="s">
        <v>350</v>
      </c>
    </row>
    <row r="16" spans="1:23" ht="25.5">
      <c r="A16" s="67" t="s">
        <v>247</v>
      </c>
      <c r="B16" s="62" t="s">
        <v>248</v>
      </c>
      <c r="C16" s="94"/>
      <c r="D16" s="62"/>
      <c r="E16" s="68">
        <v>50</v>
      </c>
      <c r="F16" s="68">
        <v>50</v>
      </c>
      <c r="G16" s="68">
        <v>50</v>
      </c>
      <c r="H16" s="68">
        <v>50</v>
      </c>
      <c r="I16" s="68">
        <v>50</v>
      </c>
      <c r="J16" s="68">
        <v>50</v>
      </c>
      <c r="K16" s="68">
        <v>50</v>
      </c>
      <c r="L16" s="68">
        <v>50</v>
      </c>
      <c r="M16" s="68">
        <v>50</v>
      </c>
      <c r="N16" s="68">
        <v>50</v>
      </c>
      <c r="O16" s="68">
        <v>50</v>
      </c>
      <c r="P16" s="68">
        <v>50</v>
      </c>
      <c r="Q16" s="68">
        <v>50</v>
      </c>
      <c r="R16" s="48"/>
      <c r="S16" s="68">
        <v>50</v>
      </c>
      <c r="T16" s="68">
        <v>50</v>
      </c>
      <c r="U16" s="68">
        <v>50</v>
      </c>
      <c r="V16" s="68">
        <v>50</v>
      </c>
      <c r="W16" s="68">
        <v>50</v>
      </c>
    </row>
    <row r="17" spans="1:23" ht="25.5">
      <c r="A17" s="67" t="s">
        <v>249</v>
      </c>
      <c r="B17" s="62" t="s">
        <v>250</v>
      </c>
      <c r="C17" s="95"/>
      <c r="D17" s="62"/>
      <c r="E17" s="48" t="s">
        <v>251</v>
      </c>
      <c r="F17" s="70" t="s">
        <v>252</v>
      </c>
      <c r="G17" s="70" t="s">
        <v>253</v>
      </c>
      <c r="H17" s="68" t="s">
        <v>254</v>
      </c>
      <c r="I17" s="70" t="s">
        <v>255</v>
      </c>
      <c r="J17" s="70" t="s">
        <v>256</v>
      </c>
      <c r="K17" s="68" t="s">
        <v>254</v>
      </c>
      <c r="L17" s="68" t="s">
        <v>254</v>
      </c>
      <c r="M17" s="68">
        <v>1936</v>
      </c>
      <c r="N17" s="68" t="s">
        <v>254</v>
      </c>
      <c r="O17" s="68" t="s">
        <v>257</v>
      </c>
      <c r="P17" s="68" t="s">
        <v>257</v>
      </c>
      <c r="Q17" s="68" t="s">
        <v>251</v>
      </c>
      <c r="R17" s="48"/>
      <c r="S17" s="68" t="s">
        <v>254</v>
      </c>
      <c r="T17" s="68" t="s">
        <v>254</v>
      </c>
      <c r="U17" s="68" t="s">
        <v>254</v>
      </c>
      <c r="V17" s="68" t="s">
        <v>351</v>
      </c>
      <c r="W17" s="68" t="s">
        <v>351</v>
      </c>
    </row>
    <row r="18" spans="1:23" ht="15.75">
      <c r="A18" s="67" t="s">
        <v>258</v>
      </c>
      <c r="B18" s="62" t="s">
        <v>259</v>
      </c>
      <c r="C18" s="95"/>
      <c r="D18" s="62"/>
      <c r="E18" s="48" t="s">
        <v>260</v>
      </c>
      <c r="F18" s="68" t="s">
        <v>261</v>
      </c>
      <c r="G18" s="68" t="s">
        <v>262</v>
      </c>
      <c r="H18" s="68" t="s">
        <v>263</v>
      </c>
      <c r="I18" s="68" t="s">
        <v>264</v>
      </c>
      <c r="J18" s="68" t="s">
        <v>265</v>
      </c>
      <c r="K18" s="68" t="s">
        <v>263</v>
      </c>
      <c r="L18" s="68" t="s">
        <v>263</v>
      </c>
      <c r="M18" s="68">
        <v>1</v>
      </c>
      <c r="N18" s="68" t="s">
        <v>263</v>
      </c>
      <c r="O18" s="68" t="s">
        <v>263</v>
      </c>
      <c r="P18" s="68" t="s">
        <v>263</v>
      </c>
      <c r="Q18" s="68" t="s">
        <v>260</v>
      </c>
      <c r="R18" s="48"/>
      <c r="S18" s="68" t="s">
        <v>263</v>
      </c>
      <c r="T18" s="68" t="s">
        <v>263</v>
      </c>
      <c r="U18" s="68" t="s">
        <v>263</v>
      </c>
      <c r="V18" s="68" t="s">
        <v>263</v>
      </c>
      <c r="W18" s="68" t="s">
        <v>263</v>
      </c>
    </row>
    <row r="19" spans="1:23" ht="15.75">
      <c r="A19" s="67" t="s">
        <v>266</v>
      </c>
      <c r="B19" s="62" t="s">
        <v>267</v>
      </c>
      <c r="C19" s="95"/>
      <c r="D19" s="62"/>
      <c r="E19" s="48" t="s">
        <v>268</v>
      </c>
      <c r="F19" s="68" t="s">
        <v>355</v>
      </c>
      <c r="G19" s="68" t="s">
        <v>269</v>
      </c>
      <c r="H19" s="68" t="s">
        <v>270</v>
      </c>
      <c r="I19" s="68" t="s">
        <v>271</v>
      </c>
      <c r="J19" s="68" t="s">
        <v>272</v>
      </c>
      <c r="K19" s="68" t="s">
        <v>270</v>
      </c>
      <c r="L19" s="68" t="s">
        <v>270</v>
      </c>
      <c r="M19" s="68"/>
      <c r="N19" s="68" t="s">
        <v>270</v>
      </c>
      <c r="O19" s="68" t="s">
        <v>270</v>
      </c>
      <c r="P19" s="68" t="s">
        <v>270</v>
      </c>
      <c r="Q19" s="68" t="s">
        <v>268</v>
      </c>
      <c r="R19" s="48"/>
      <c r="S19" s="68" t="s">
        <v>270</v>
      </c>
      <c r="T19" s="68" t="s">
        <v>270</v>
      </c>
      <c r="U19" s="68" t="s">
        <v>270</v>
      </c>
      <c r="V19" s="68" t="s">
        <v>270</v>
      </c>
      <c r="W19" s="68" t="s">
        <v>270</v>
      </c>
    </row>
    <row r="20" spans="1:23" ht="15.75">
      <c r="A20" s="67" t="s">
        <v>273</v>
      </c>
      <c r="B20" s="62" t="s">
        <v>274</v>
      </c>
      <c r="C20" s="95"/>
      <c r="D20" s="62"/>
      <c r="E20" s="48" t="s">
        <v>275</v>
      </c>
      <c r="F20" s="68" t="s">
        <v>356</v>
      </c>
      <c r="G20" s="68"/>
      <c r="H20" s="68" t="s">
        <v>276</v>
      </c>
      <c r="I20" s="68" t="s">
        <v>277</v>
      </c>
      <c r="J20" s="68"/>
      <c r="K20" s="68" t="s">
        <v>276</v>
      </c>
      <c r="L20" s="68" t="s">
        <v>276</v>
      </c>
      <c r="M20" s="68"/>
      <c r="N20" s="68" t="s">
        <v>276</v>
      </c>
      <c r="O20" s="68" t="s">
        <v>276</v>
      </c>
      <c r="P20" s="68" t="s">
        <v>276</v>
      </c>
      <c r="Q20" s="68" t="s">
        <v>275</v>
      </c>
      <c r="R20" s="48"/>
      <c r="S20" s="68" t="s">
        <v>276</v>
      </c>
      <c r="T20" s="68" t="s">
        <v>276</v>
      </c>
      <c r="U20" s="68" t="s">
        <v>276</v>
      </c>
      <c r="V20" s="68" t="s">
        <v>276</v>
      </c>
      <c r="W20" s="68" t="s">
        <v>276</v>
      </c>
    </row>
    <row r="21" spans="1:23" ht="15.75">
      <c r="A21" s="67" t="s">
        <v>278</v>
      </c>
      <c r="B21" s="62"/>
      <c r="C21" s="95"/>
      <c r="D21" s="62"/>
      <c r="E21" s="48" t="s">
        <v>279</v>
      </c>
      <c r="F21" s="68" t="s">
        <v>357</v>
      </c>
      <c r="G21" s="68"/>
      <c r="H21" s="68">
        <v>1</v>
      </c>
      <c r="I21" s="68" t="s">
        <v>280</v>
      </c>
      <c r="J21" s="68"/>
      <c r="K21" s="68">
        <v>1</v>
      </c>
      <c r="L21" s="68">
        <v>1</v>
      </c>
      <c r="M21" s="68"/>
      <c r="N21" s="68">
        <v>1</v>
      </c>
      <c r="O21" s="68">
        <v>1</v>
      </c>
      <c r="P21" s="68">
        <v>1</v>
      </c>
      <c r="Q21" s="68" t="s">
        <v>279</v>
      </c>
      <c r="R21" s="48"/>
      <c r="S21" s="68">
        <v>1</v>
      </c>
      <c r="T21" s="68">
        <v>1</v>
      </c>
      <c r="U21" s="68">
        <v>1</v>
      </c>
      <c r="V21" s="68"/>
      <c r="W21" s="68"/>
    </row>
    <row r="22" spans="1:23" ht="15.75">
      <c r="A22" s="64" t="s">
        <v>55</v>
      </c>
      <c r="B22" s="65"/>
      <c r="C22" s="91"/>
      <c r="D22" s="65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</row>
    <row r="23" spans="1:23" ht="15.75">
      <c r="A23" s="67" t="s">
        <v>56</v>
      </c>
      <c r="B23" s="67" t="s">
        <v>57</v>
      </c>
      <c r="C23" s="2"/>
      <c r="D23" s="67"/>
      <c r="E23" s="25" t="s">
        <v>281</v>
      </c>
      <c r="F23" s="25" t="s">
        <v>281</v>
      </c>
      <c r="G23" s="25" t="s">
        <v>281</v>
      </c>
      <c r="H23" s="25" t="s">
        <v>282</v>
      </c>
      <c r="I23" s="25" t="s">
        <v>365</v>
      </c>
      <c r="J23" s="25" t="s">
        <v>281</v>
      </c>
      <c r="K23" s="25" t="s">
        <v>282</v>
      </c>
      <c r="L23" s="25" t="s">
        <v>282</v>
      </c>
      <c r="M23" s="25" t="s">
        <v>281</v>
      </c>
      <c r="N23" s="25" t="s">
        <v>282</v>
      </c>
      <c r="O23" s="25" t="s">
        <v>281</v>
      </c>
      <c r="P23" s="25" t="s">
        <v>281</v>
      </c>
      <c r="Q23" s="25" t="s">
        <v>281</v>
      </c>
      <c r="R23" s="25" t="s">
        <v>281</v>
      </c>
      <c r="S23" s="25" t="s">
        <v>282</v>
      </c>
      <c r="T23" s="25" t="s">
        <v>282</v>
      </c>
      <c r="U23" s="25" t="s">
        <v>282</v>
      </c>
      <c r="V23" s="25" t="s">
        <v>281</v>
      </c>
      <c r="W23" s="25" t="s">
        <v>281</v>
      </c>
    </row>
    <row r="24" spans="1:23" ht="15.75">
      <c r="A24" s="67" t="s">
        <v>59</v>
      </c>
      <c r="B24" s="67"/>
      <c r="C24" s="2"/>
      <c r="D24" s="67"/>
      <c r="E24" s="25" t="s">
        <v>283</v>
      </c>
      <c r="F24" s="25" t="s">
        <v>283</v>
      </c>
      <c r="G24" s="25" t="s">
        <v>283</v>
      </c>
      <c r="H24" s="25" t="s">
        <v>283</v>
      </c>
      <c r="I24" s="25" t="s">
        <v>283</v>
      </c>
      <c r="J24" s="25" t="s">
        <v>283</v>
      </c>
      <c r="K24" s="25" t="s">
        <v>283</v>
      </c>
      <c r="L24" s="25" t="s">
        <v>283</v>
      </c>
      <c r="M24" s="25" t="s">
        <v>283</v>
      </c>
      <c r="N24" s="25" t="s">
        <v>283</v>
      </c>
      <c r="O24" s="25" t="s">
        <v>283</v>
      </c>
      <c r="P24" s="25" t="s">
        <v>283</v>
      </c>
      <c r="Q24" s="25" t="s">
        <v>283</v>
      </c>
      <c r="R24" s="25" t="s">
        <v>283</v>
      </c>
      <c r="S24" s="25" t="s">
        <v>283</v>
      </c>
      <c r="T24" s="25" t="s">
        <v>283</v>
      </c>
      <c r="U24" s="25" t="s">
        <v>283</v>
      </c>
      <c r="V24" s="25" t="s">
        <v>283</v>
      </c>
      <c r="W24" s="25" t="s">
        <v>283</v>
      </c>
    </row>
    <row r="25" spans="1:23" ht="15.75">
      <c r="A25" s="67" t="s">
        <v>61</v>
      </c>
      <c r="B25" s="67"/>
      <c r="C25" s="2"/>
      <c r="D25" s="67"/>
      <c r="E25" s="25" t="s">
        <v>62</v>
      </c>
      <c r="F25" s="25" t="s">
        <v>62</v>
      </c>
      <c r="G25" s="25" t="s">
        <v>62</v>
      </c>
      <c r="H25" s="25" t="s">
        <v>63</v>
      </c>
      <c r="I25" s="25" t="s">
        <v>62</v>
      </c>
      <c r="J25" s="25" t="s">
        <v>62</v>
      </c>
      <c r="K25" s="25" t="s">
        <v>64</v>
      </c>
      <c r="L25" s="25" t="s">
        <v>64</v>
      </c>
      <c r="M25" s="25" t="s">
        <v>64</v>
      </c>
      <c r="N25" s="25" t="s">
        <v>63</v>
      </c>
      <c r="O25" s="25" t="s">
        <v>64</v>
      </c>
      <c r="P25" s="25" t="s">
        <v>64</v>
      </c>
      <c r="Q25" s="25" t="s">
        <v>62</v>
      </c>
      <c r="R25" s="25" t="s">
        <v>64</v>
      </c>
      <c r="S25" s="25" t="s">
        <v>63</v>
      </c>
      <c r="T25" s="25" t="s">
        <v>63</v>
      </c>
      <c r="U25" s="25" t="s">
        <v>63</v>
      </c>
      <c r="V25" s="25" t="s">
        <v>62</v>
      </c>
      <c r="W25" s="25" t="s">
        <v>62</v>
      </c>
    </row>
    <row r="26" spans="1:23" ht="15.75">
      <c r="A26" s="67" t="s">
        <v>68</v>
      </c>
      <c r="B26" s="67"/>
      <c r="C26" s="96"/>
      <c r="D26" s="67"/>
      <c r="E26" s="71">
        <v>0.0078125</v>
      </c>
      <c r="F26" s="72">
        <v>0.0078125</v>
      </c>
      <c r="G26" s="72">
        <v>0.0078125</v>
      </c>
      <c r="H26" s="72">
        <f>1/32</f>
        <v>0.03125</v>
      </c>
      <c r="I26" s="72">
        <v>0.0078125</v>
      </c>
      <c r="J26" s="72">
        <v>0.0078125</v>
      </c>
      <c r="K26" s="72">
        <f aca="true" t="shared" si="1" ref="K26:P26">1/32</f>
        <v>0.03125</v>
      </c>
      <c r="L26" s="72">
        <f t="shared" si="1"/>
        <v>0.03125</v>
      </c>
      <c r="M26" s="72">
        <f t="shared" si="1"/>
        <v>0.03125</v>
      </c>
      <c r="N26" s="72">
        <f t="shared" si="1"/>
        <v>0.03125</v>
      </c>
      <c r="O26" s="72">
        <f t="shared" si="1"/>
        <v>0.03125</v>
      </c>
      <c r="P26" s="72">
        <f t="shared" si="1"/>
        <v>0.03125</v>
      </c>
      <c r="Q26" s="72">
        <v>0.0078125</v>
      </c>
      <c r="R26" s="88" t="s">
        <v>341</v>
      </c>
      <c r="S26" s="72">
        <f>1/32</f>
        <v>0.03125</v>
      </c>
      <c r="T26" s="72">
        <f>1/32</f>
        <v>0.03125</v>
      </c>
      <c r="U26" s="72">
        <f>1/32</f>
        <v>0.03125</v>
      </c>
      <c r="V26" s="72">
        <f>1/16</f>
        <v>0.0625</v>
      </c>
      <c r="W26" s="72">
        <f>1/128</f>
        <v>0.0078125</v>
      </c>
    </row>
    <row r="27" spans="1:23" ht="15.75">
      <c r="A27" s="67" t="s">
        <v>76</v>
      </c>
      <c r="B27" s="67" t="s">
        <v>77</v>
      </c>
      <c r="C27" s="2"/>
      <c r="D27" s="67"/>
      <c r="E27" s="25">
        <v>27</v>
      </c>
      <c r="F27" s="25">
        <v>27</v>
      </c>
      <c r="G27" s="25">
        <v>27</v>
      </c>
      <c r="H27" s="25">
        <v>108</v>
      </c>
      <c r="I27" s="25">
        <v>27</v>
      </c>
      <c r="J27" s="25">
        <v>27</v>
      </c>
      <c r="K27" s="25">
        <v>54</v>
      </c>
      <c r="L27" s="25">
        <v>54</v>
      </c>
      <c r="M27" s="25">
        <v>54</v>
      </c>
      <c r="N27" s="25">
        <v>108</v>
      </c>
      <c r="O27" s="25">
        <v>54</v>
      </c>
      <c r="P27" s="25">
        <v>54</v>
      </c>
      <c r="Q27" s="25">
        <v>27</v>
      </c>
      <c r="R27" s="81">
        <v>59</v>
      </c>
      <c r="S27" s="25">
        <v>108</v>
      </c>
      <c r="T27" s="25">
        <v>108</v>
      </c>
      <c r="U27" s="25">
        <v>108</v>
      </c>
      <c r="V27" s="25">
        <v>27</v>
      </c>
      <c r="W27" s="25">
        <v>27</v>
      </c>
    </row>
    <row r="28" spans="1:23" ht="15.75">
      <c r="A28" s="67" t="s">
        <v>78</v>
      </c>
      <c r="B28" s="67"/>
      <c r="C28" s="2"/>
      <c r="D28" s="67"/>
      <c r="E28" s="25" t="s">
        <v>79</v>
      </c>
      <c r="F28" s="25" t="s">
        <v>79</v>
      </c>
      <c r="G28" s="25" t="s">
        <v>79</v>
      </c>
      <c r="H28" s="25" t="s">
        <v>79</v>
      </c>
      <c r="I28" s="25" t="s">
        <v>79</v>
      </c>
      <c r="J28" s="25" t="s">
        <v>79</v>
      </c>
      <c r="K28" s="25" t="s">
        <v>79</v>
      </c>
      <c r="L28" s="25" t="s">
        <v>79</v>
      </c>
      <c r="M28" s="25" t="s">
        <v>79</v>
      </c>
      <c r="N28" s="25" t="s">
        <v>79</v>
      </c>
      <c r="O28" s="25" t="s">
        <v>79</v>
      </c>
      <c r="P28" s="25" t="s">
        <v>79</v>
      </c>
      <c r="Q28" s="25" t="s">
        <v>79</v>
      </c>
      <c r="R28" s="88" t="s">
        <v>342</v>
      </c>
      <c r="S28" s="25" t="s">
        <v>79</v>
      </c>
      <c r="T28" s="25" t="s">
        <v>79</v>
      </c>
      <c r="U28" s="25" t="s">
        <v>79</v>
      </c>
      <c r="V28" s="25" t="s">
        <v>19</v>
      </c>
      <c r="W28" s="25" t="s">
        <v>79</v>
      </c>
    </row>
    <row r="29" spans="1:23" ht="15.75">
      <c r="A29" s="67" t="s">
        <v>80</v>
      </c>
      <c r="B29" s="67"/>
      <c r="C29" s="25"/>
      <c r="D29" s="67"/>
      <c r="E29" s="25" t="s">
        <v>284</v>
      </c>
      <c r="F29" s="25" t="s">
        <v>284</v>
      </c>
      <c r="G29" s="25" t="s">
        <v>284</v>
      </c>
      <c r="H29" s="25" t="s">
        <v>284</v>
      </c>
      <c r="I29" s="25" t="s">
        <v>284</v>
      </c>
      <c r="J29" s="25" t="s">
        <v>284</v>
      </c>
      <c r="K29" s="25" t="s">
        <v>284</v>
      </c>
      <c r="L29" s="25" t="s">
        <v>284</v>
      </c>
      <c r="M29" s="25" t="s">
        <v>284</v>
      </c>
      <c r="N29" s="25" t="s">
        <v>284</v>
      </c>
      <c r="O29" s="25" t="s">
        <v>284</v>
      </c>
      <c r="P29" s="25" t="s">
        <v>284</v>
      </c>
      <c r="Q29" s="25" t="s">
        <v>284</v>
      </c>
      <c r="R29" s="25" t="s">
        <v>284</v>
      </c>
      <c r="S29" s="25" t="s">
        <v>284</v>
      </c>
      <c r="T29" s="25" t="s">
        <v>284</v>
      </c>
      <c r="U29" s="25" t="s">
        <v>284</v>
      </c>
      <c r="V29" s="25" t="s">
        <v>284</v>
      </c>
      <c r="W29" s="25" t="s">
        <v>284</v>
      </c>
    </row>
    <row r="30" spans="1:23" ht="15.75">
      <c r="A30" s="67" t="s">
        <v>85</v>
      </c>
      <c r="B30" s="67"/>
      <c r="C30" s="2"/>
      <c r="D30" s="67"/>
      <c r="E30" s="25">
        <v>2</v>
      </c>
      <c r="F30" s="25">
        <v>2</v>
      </c>
      <c r="G30" s="25">
        <v>2</v>
      </c>
      <c r="H30" s="25">
        <v>12</v>
      </c>
      <c r="I30" s="25">
        <v>2</v>
      </c>
      <c r="J30" s="25">
        <v>2</v>
      </c>
      <c r="K30" s="25">
        <v>12</v>
      </c>
      <c r="L30" s="25">
        <v>12</v>
      </c>
      <c r="M30" s="25">
        <v>2</v>
      </c>
      <c r="N30" s="25">
        <v>12</v>
      </c>
      <c r="O30" s="25">
        <v>2</v>
      </c>
      <c r="P30" s="25">
        <v>2</v>
      </c>
      <c r="Q30" s="25">
        <v>2</v>
      </c>
      <c r="R30" s="81">
        <v>2</v>
      </c>
      <c r="S30" s="25">
        <v>12</v>
      </c>
      <c r="T30" s="25">
        <v>12</v>
      </c>
      <c r="U30" s="25">
        <v>12</v>
      </c>
      <c r="V30" s="25">
        <v>2</v>
      </c>
      <c r="W30" s="25">
        <v>2</v>
      </c>
    </row>
    <row r="31" spans="1:23" s="73" customFormat="1" ht="39" customHeight="1">
      <c r="A31" s="67" t="s">
        <v>86</v>
      </c>
      <c r="B31" s="67"/>
      <c r="C31" s="2"/>
      <c r="D31" s="67"/>
      <c r="E31" s="25" t="s">
        <v>87</v>
      </c>
      <c r="F31" s="25" t="s">
        <v>87</v>
      </c>
      <c r="G31" s="25" t="s">
        <v>87</v>
      </c>
      <c r="H31" s="25" t="s">
        <v>87</v>
      </c>
      <c r="I31" s="25" t="s">
        <v>87</v>
      </c>
      <c r="J31" s="25" t="s">
        <v>285</v>
      </c>
      <c r="K31" s="25" t="s">
        <v>87</v>
      </c>
      <c r="L31" s="25" t="s">
        <v>87</v>
      </c>
      <c r="M31" s="25" t="s">
        <v>87</v>
      </c>
      <c r="N31" s="25" t="s">
        <v>87</v>
      </c>
      <c r="O31" s="25" t="s">
        <v>87</v>
      </c>
      <c r="P31" s="25" t="s">
        <v>87</v>
      </c>
      <c r="Q31" s="25" t="s">
        <v>87</v>
      </c>
      <c r="R31" s="25" t="s">
        <v>87</v>
      </c>
      <c r="S31" s="25" t="s">
        <v>87</v>
      </c>
      <c r="T31" s="25" t="s">
        <v>87</v>
      </c>
      <c r="U31" s="25" t="s">
        <v>87</v>
      </c>
      <c r="V31" s="25" t="s">
        <v>87</v>
      </c>
      <c r="W31" s="25" t="s">
        <v>87</v>
      </c>
    </row>
    <row r="32" spans="1:23" ht="15.75">
      <c r="A32" s="67" t="s">
        <v>200</v>
      </c>
      <c r="B32" s="67"/>
      <c r="C32" s="2"/>
      <c r="D32" s="67"/>
      <c r="E32" s="25">
        <f>7/64</f>
        <v>0.109375</v>
      </c>
      <c r="F32" s="25">
        <f>7/64</f>
        <v>0.109375</v>
      </c>
      <c r="G32" s="25">
        <f>7/64</f>
        <v>0.109375</v>
      </c>
      <c r="H32" s="25">
        <f>7/64</f>
        <v>0.109375</v>
      </c>
      <c r="I32" s="25">
        <f>7/64</f>
        <v>0.109375</v>
      </c>
      <c r="J32" s="25">
        <f>7/40</f>
        <v>0.175</v>
      </c>
      <c r="K32" s="25">
        <f aca="true" t="shared" si="2" ref="K32:P32">7/64</f>
        <v>0.109375</v>
      </c>
      <c r="L32" s="25">
        <f t="shared" si="2"/>
        <v>0.109375</v>
      </c>
      <c r="M32" s="25">
        <f t="shared" si="2"/>
        <v>0.109375</v>
      </c>
      <c r="N32" s="25">
        <f t="shared" si="2"/>
        <v>0.109375</v>
      </c>
      <c r="O32" s="25">
        <f t="shared" si="2"/>
        <v>0.109375</v>
      </c>
      <c r="P32" s="25">
        <f t="shared" si="2"/>
        <v>0.109375</v>
      </c>
      <c r="Q32" s="25">
        <f aca="true" t="shared" si="3" ref="Q32:W32">7/64</f>
        <v>0.109375</v>
      </c>
      <c r="R32" s="25">
        <f t="shared" si="3"/>
        <v>0.109375</v>
      </c>
      <c r="S32" s="25">
        <f t="shared" si="3"/>
        <v>0.109375</v>
      </c>
      <c r="T32" s="25">
        <f t="shared" si="3"/>
        <v>0.109375</v>
      </c>
      <c r="U32" s="25">
        <f t="shared" si="3"/>
        <v>0.109375</v>
      </c>
      <c r="V32" s="25">
        <f t="shared" si="3"/>
        <v>0.109375</v>
      </c>
      <c r="W32" s="25">
        <f t="shared" si="3"/>
        <v>0.109375</v>
      </c>
    </row>
    <row r="33" spans="1:23" ht="15.75">
      <c r="A33" s="67" t="s">
        <v>88</v>
      </c>
      <c r="B33" s="67"/>
      <c r="C33" s="2"/>
      <c r="D33" s="67"/>
      <c r="E33" s="25" t="s">
        <v>89</v>
      </c>
      <c r="F33" s="25" t="s">
        <v>89</v>
      </c>
      <c r="G33" s="25" t="s">
        <v>89</v>
      </c>
      <c r="H33" s="25" t="s">
        <v>89</v>
      </c>
      <c r="I33" s="25" t="s">
        <v>89</v>
      </c>
      <c r="J33" s="25" t="s">
        <v>89</v>
      </c>
      <c r="K33" s="25" t="s">
        <v>89</v>
      </c>
      <c r="L33" s="25" t="s">
        <v>89</v>
      </c>
      <c r="M33" s="25" t="s">
        <v>89</v>
      </c>
      <c r="N33" s="25" t="s">
        <v>89</v>
      </c>
      <c r="O33" s="25" t="s">
        <v>89</v>
      </c>
      <c r="P33" s="25" t="s">
        <v>89</v>
      </c>
      <c r="Q33" s="25" t="s">
        <v>89</v>
      </c>
      <c r="R33" s="88" t="s">
        <v>343</v>
      </c>
      <c r="S33" s="25" t="s">
        <v>89</v>
      </c>
      <c r="T33" s="25" t="s">
        <v>89</v>
      </c>
      <c r="U33" s="25" t="s">
        <v>89</v>
      </c>
      <c r="V33" s="25" t="s">
        <v>89</v>
      </c>
      <c r="W33" s="25" t="s">
        <v>89</v>
      </c>
    </row>
    <row r="34" spans="1:23" ht="15.75">
      <c r="A34" s="67" t="s">
        <v>91</v>
      </c>
      <c r="B34" s="67"/>
      <c r="C34" s="2"/>
      <c r="D34" s="67"/>
      <c r="E34" s="25" t="s">
        <v>92</v>
      </c>
      <c r="F34" s="25" t="s">
        <v>92</v>
      </c>
      <c r="G34" s="25" t="s">
        <v>92</v>
      </c>
      <c r="H34" s="25" t="s">
        <v>92</v>
      </c>
      <c r="I34" s="25" t="s">
        <v>92</v>
      </c>
      <c r="J34" s="25" t="s">
        <v>92</v>
      </c>
      <c r="K34" s="25" t="s">
        <v>92</v>
      </c>
      <c r="L34" s="25" t="s">
        <v>92</v>
      </c>
      <c r="M34" s="25" t="s">
        <v>92</v>
      </c>
      <c r="N34" s="25" t="s">
        <v>92</v>
      </c>
      <c r="O34" s="25" t="s">
        <v>92</v>
      </c>
      <c r="P34" s="25" t="s">
        <v>92</v>
      </c>
      <c r="Q34" s="25" t="s">
        <v>92</v>
      </c>
      <c r="R34" s="88" t="s">
        <v>344</v>
      </c>
      <c r="S34" s="25" t="s">
        <v>92</v>
      </c>
      <c r="T34" s="25" t="s">
        <v>92</v>
      </c>
      <c r="U34" s="25" t="s">
        <v>92</v>
      </c>
      <c r="V34" s="25" t="s">
        <v>96</v>
      </c>
      <c r="W34" s="25" t="s">
        <v>92</v>
      </c>
    </row>
    <row r="35" spans="1:23" ht="15.75">
      <c r="A35" s="67" t="s">
        <v>99</v>
      </c>
      <c r="B35" s="67"/>
      <c r="C35" s="2"/>
      <c r="D35" s="67"/>
      <c r="E35" s="25" t="s">
        <v>101</v>
      </c>
      <c r="F35" s="25" t="s">
        <v>100</v>
      </c>
      <c r="G35" s="25" t="s">
        <v>103</v>
      </c>
      <c r="H35" s="25" t="s">
        <v>103</v>
      </c>
      <c r="I35" s="25" t="s">
        <v>101</v>
      </c>
      <c r="J35" s="25" t="s">
        <v>103</v>
      </c>
      <c r="K35" s="25" t="s">
        <v>103</v>
      </c>
      <c r="L35" s="25" t="s">
        <v>103</v>
      </c>
      <c r="M35" s="25" t="s">
        <v>103</v>
      </c>
      <c r="N35" s="25" t="s">
        <v>102</v>
      </c>
      <c r="O35" s="25" t="s">
        <v>101</v>
      </c>
      <c r="P35" s="25" t="s">
        <v>103</v>
      </c>
      <c r="Q35" s="25" t="s">
        <v>101</v>
      </c>
      <c r="R35" s="25" t="s">
        <v>102</v>
      </c>
      <c r="S35" s="25" t="s">
        <v>103</v>
      </c>
      <c r="T35" s="25" t="s">
        <v>103</v>
      </c>
      <c r="U35" s="25" t="s">
        <v>103</v>
      </c>
      <c r="V35" s="25" t="s">
        <v>101</v>
      </c>
      <c r="W35" s="25" t="s">
        <v>101</v>
      </c>
    </row>
    <row r="36" spans="1:23" ht="15.75">
      <c r="A36" s="67" t="s">
        <v>104</v>
      </c>
      <c r="B36" s="67" t="s">
        <v>105</v>
      </c>
      <c r="C36" s="2"/>
      <c r="D36" s="67"/>
      <c r="E36" s="25">
        <v>108</v>
      </c>
      <c r="F36" s="25">
        <v>108</v>
      </c>
      <c r="G36" s="25">
        <v>108</v>
      </c>
      <c r="H36" s="25">
        <v>108</v>
      </c>
      <c r="I36" s="25">
        <v>108</v>
      </c>
      <c r="J36" s="25">
        <v>108</v>
      </c>
      <c r="K36" s="25">
        <v>108</v>
      </c>
      <c r="L36" s="25">
        <v>108</v>
      </c>
      <c r="M36" s="25">
        <v>405</v>
      </c>
      <c r="N36" s="25">
        <v>108</v>
      </c>
      <c r="O36" s="25">
        <v>135</v>
      </c>
      <c r="P36" s="25">
        <v>135</v>
      </c>
      <c r="Q36" s="25">
        <v>108</v>
      </c>
      <c r="R36" s="81">
        <v>270</v>
      </c>
      <c r="S36" s="25">
        <v>108</v>
      </c>
      <c r="T36" s="25">
        <v>108</v>
      </c>
      <c r="U36" s="25">
        <v>108</v>
      </c>
      <c r="V36" s="25">
        <v>108</v>
      </c>
      <c r="W36" s="25">
        <v>108</v>
      </c>
    </row>
    <row r="37" spans="1:23" ht="15.75">
      <c r="A37" s="67" t="s">
        <v>21</v>
      </c>
      <c r="B37" s="67"/>
      <c r="C37" s="2"/>
      <c r="D37" s="67"/>
      <c r="E37" s="25" t="s">
        <v>81</v>
      </c>
      <c r="F37" s="25" t="s">
        <v>81</v>
      </c>
      <c r="G37" s="25" t="s">
        <v>81</v>
      </c>
      <c r="H37" s="25" t="s">
        <v>89</v>
      </c>
      <c r="I37" s="25" t="s">
        <v>81</v>
      </c>
      <c r="J37" s="25" t="s">
        <v>81</v>
      </c>
      <c r="K37" s="25" t="s">
        <v>89</v>
      </c>
      <c r="L37" s="25" t="s">
        <v>89</v>
      </c>
      <c r="M37" s="25" t="s">
        <v>81</v>
      </c>
      <c r="N37" s="25" t="s">
        <v>89</v>
      </c>
      <c r="O37" s="25" t="s">
        <v>81</v>
      </c>
      <c r="P37" s="25" t="s">
        <v>81</v>
      </c>
      <c r="Q37" s="25" t="s">
        <v>81</v>
      </c>
      <c r="R37" s="25" t="s">
        <v>81</v>
      </c>
      <c r="S37" s="25" t="s">
        <v>81</v>
      </c>
      <c r="T37" s="25" t="s">
        <v>81</v>
      </c>
      <c r="U37" s="25" t="s">
        <v>89</v>
      </c>
      <c r="V37" s="25" t="s">
        <v>81</v>
      </c>
      <c r="W37" s="25" t="s">
        <v>81</v>
      </c>
    </row>
    <row r="38" spans="1:23" ht="15.75">
      <c r="A38" s="67" t="s">
        <v>106</v>
      </c>
      <c r="B38" s="67"/>
      <c r="C38" s="97"/>
      <c r="D38" s="67"/>
      <c r="E38" s="74"/>
      <c r="F38" s="74"/>
      <c r="G38" s="74"/>
      <c r="H38" s="75">
        <v>0</v>
      </c>
      <c r="I38" s="74"/>
      <c r="J38" s="74"/>
      <c r="K38" s="75">
        <v>0</v>
      </c>
      <c r="L38" s="75">
        <v>0</v>
      </c>
      <c r="M38" s="76"/>
      <c r="N38" s="75">
        <v>0</v>
      </c>
      <c r="O38" s="76"/>
      <c r="P38" s="76"/>
      <c r="Q38" s="76"/>
      <c r="R38" s="76"/>
      <c r="S38" s="80"/>
      <c r="T38" s="80"/>
      <c r="U38" s="75">
        <v>0</v>
      </c>
      <c r="V38" s="80"/>
      <c r="W38" s="80"/>
    </row>
    <row r="39" spans="1:23" ht="15.75">
      <c r="A39" s="67" t="s">
        <v>107</v>
      </c>
      <c r="B39" s="67" t="s">
        <v>286</v>
      </c>
      <c r="C39" s="2"/>
      <c r="D39" s="67"/>
      <c r="E39" s="76"/>
      <c r="F39" s="76"/>
      <c r="G39" s="76"/>
      <c r="H39" s="25">
        <v>650000</v>
      </c>
      <c r="I39" s="76"/>
      <c r="J39" s="76"/>
      <c r="K39" s="25">
        <v>650000</v>
      </c>
      <c r="L39" s="25">
        <v>650000</v>
      </c>
      <c r="M39" s="76"/>
      <c r="N39" s="25">
        <v>650000</v>
      </c>
      <c r="O39" s="76"/>
      <c r="P39" s="76"/>
      <c r="Q39" s="76"/>
      <c r="R39" s="76"/>
      <c r="S39" s="80"/>
      <c r="T39" s="80"/>
      <c r="U39" s="25">
        <v>650000</v>
      </c>
      <c r="V39" s="80"/>
      <c r="W39" s="80"/>
    </row>
    <row r="40" spans="1:23" ht="15.75">
      <c r="A40" s="67" t="s">
        <v>108</v>
      </c>
      <c r="B40" s="67"/>
      <c r="C40" s="2"/>
      <c r="D40" s="67"/>
      <c r="E40" s="76"/>
      <c r="F40" s="76"/>
      <c r="G40" s="76"/>
      <c r="H40" s="25">
        <v>6</v>
      </c>
      <c r="I40" s="76"/>
      <c r="J40" s="76"/>
      <c r="K40" s="25">
        <v>6</v>
      </c>
      <c r="L40" s="25">
        <v>6</v>
      </c>
      <c r="M40" s="76"/>
      <c r="N40" s="25">
        <v>6</v>
      </c>
      <c r="O40" s="76"/>
      <c r="P40" s="76"/>
      <c r="Q40" s="76"/>
      <c r="R40" s="76"/>
      <c r="S40" s="80"/>
      <c r="T40" s="80"/>
      <c r="U40" s="25">
        <v>6</v>
      </c>
      <c r="V40" s="80"/>
      <c r="W40" s="80"/>
    </row>
    <row r="41" spans="1:23" ht="15.75">
      <c r="A41" s="67" t="s">
        <v>109</v>
      </c>
      <c r="C41" s="98"/>
      <c r="D41" s="47"/>
      <c r="E41" s="77"/>
      <c r="F41" s="77"/>
      <c r="G41" s="77"/>
      <c r="H41" s="78">
        <v>10</v>
      </c>
      <c r="I41" s="77"/>
      <c r="J41" s="77"/>
      <c r="K41" s="78">
        <v>10</v>
      </c>
      <c r="L41" s="78">
        <v>10</v>
      </c>
      <c r="M41" s="77"/>
      <c r="N41" s="78">
        <v>10</v>
      </c>
      <c r="O41" s="77"/>
      <c r="P41" s="77"/>
      <c r="Q41" s="77"/>
      <c r="R41" s="77"/>
      <c r="S41" s="80"/>
      <c r="T41" s="80"/>
      <c r="U41" s="78">
        <v>10</v>
      </c>
      <c r="V41" s="80"/>
      <c r="W41" s="80"/>
    </row>
    <row r="42" spans="1:23" ht="15.75">
      <c r="A42" s="67" t="s">
        <v>110</v>
      </c>
      <c r="B42" s="67"/>
      <c r="C42" s="97"/>
      <c r="D42" s="67"/>
      <c r="E42" s="74"/>
      <c r="F42" s="74"/>
      <c r="G42" s="74"/>
      <c r="H42" s="75">
        <v>1</v>
      </c>
      <c r="I42" s="74"/>
      <c r="J42" s="74"/>
      <c r="K42" s="75">
        <v>1</v>
      </c>
      <c r="L42" s="75">
        <v>1</v>
      </c>
      <c r="M42" s="74"/>
      <c r="N42" s="75">
        <v>1</v>
      </c>
      <c r="O42" s="74"/>
      <c r="P42" s="74"/>
      <c r="Q42" s="74"/>
      <c r="R42" s="74"/>
      <c r="S42" s="80"/>
      <c r="T42" s="80"/>
      <c r="U42" s="75">
        <v>1</v>
      </c>
      <c r="V42" s="80"/>
      <c r="W42" s="80"/>
    </row>
    <row r="43" spans="1:23" ht="15.75">
      <c r="A43" s="67" t="s">
        <v>111</v>
      </c>
      <c r="B43" s="67"/>
      <c r="C43" s="97"/>
      <c r="D43" s="67"/>
      <c r="E43" s="74"/>
      <c r="F43" s="74"/>
      <c r="G43" s="74"/>
      <c r="H43" s="75" t="s">
        <v>287</v>
      </c>
      <c r="I43" s="74"/>
      <c r="J43" s="74"/>
      <c r="K43" s="75" t="s">
        <v>287</v>
      </c>
      <c r="L43" s="75" t="s">
        <v>287</v>
      </c>
      <c r="M43" s="74"/>
      <c r="N43" s="75" t="s">
        <v>287</v>
      </c>
      <c r="O43" s="74"/>
      <c r="P43" s="74"/>
      <c r="Q43" s="74"/>
      <c r="R43" s="74"/>
      <c r="S43" s="80"/>
      <c r="T43" s="80"/>
      <c r="U43" s="75" t="s">
        <v>287</v>
      </c>
      <c r="V43" s="80"/>
      <c r="W43" s="80"/>
    </row>
    <row r="44" spans="1:23" ht="31.5">
      <c r="A44" s="67" t="s">
        <v>119</v>
      </c>
      <c r="B44" s="79" t="s">
        <v>120</v>
      </c>
      <c r="C44" s="2"/>
      <c r="D44" s="79"/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1</v>
      </c>
      <c r="R44" s="81">
        <v>0</v>
      </c>
      <c r="S44" s="25">
        <v>0</v>
      </c>
      <c r="T44" s="25">
        <v>0</v>
      </c>
      <c r="U44" s="25">
        <v>0</v>
      </c>
      <c r="V44" s="25">
        <v>0</v>
      </c>
      <c r="W44" s="25">
        <v>0</v>
      </c>
    </row>
    <row r="45" spans="1:23" ht="15.75">
      <c r="A45" s="67" t="s">
        <v>121</v>
      </c>
      <c r="B45" s="79"/>
      <c r="C45" s="2"/>
      <c r="D45" s="79"/>
      <c r="E45" s="25">
        <v>5</v>
      </c>
      <c r="F45" s="25">
        <v>5</v>
      </c>
      <c r="G45" s="25">
        <v>3</v>
      </c>
      <c r="H45" s="25">
        <v>9</v>
      </c>
      <c r="I45" s="25">
        <v>5</v>
      </c>
      <c r="J45" s="25">
        <v>3</v>
      </c>
      <c r="K45" s="25">
        <v>9</v>
      </c>
      <c r="L45" s="25">
        <v>9</v>
      </c>
      <c r="M45" s="25">
        <v>7</v>
      </c>
      <c r="N45" s="25">
        <v>9</v>
      </c>
      <c r="O45" s="25">
        <v>87</v>
      </c>
      <c r="P45" s="25">
        <v>19</v>
      </c>
      <c r="Q45" s="25">
        <v>5</v>
      </c>
      <c r="R45" s="81">
        <v>2</v>
      </c>
      <c r="S45" s="25">
        <v>9</v>
      </c>
      <c r="T45" s="25">
        <v>9</v>
      </c>
      <c r="U45" s="25">
        <v>9</v>
      </c>
      <c r="V45" s="25">
        <v>4</v>
      </c>
      <c r="W45" s="25">
        <v>4</v>
      </c>
    </row>
    <row r="46" spans="1:23" ht="15.75">
      <c r="A46" s="67" t="s">
        <v>122</v>
      </c>
      <c r="B46" s="79"/>
      <c r="C46" s="2"/>
      <c r="D46" s="79"/>
      <c r="E46" s="25">
        <v>1</v>
      </c>
      <c r="F46" s="25">
        <v>1</v>
      </c>
      <c r="G46" s="25">
        <v>1</v>
      </c>
      <c r="H46" s="25">
        <v>1</v>
      </c>
      <c r="I46" s="25">
        <v>1</v>
      </c>
      <c r="J46" s="25">
        <v>1</v>
      </c>
      <c r="K46" s="25">
        <v>1</v>
      </c>
      <c r="L46" s="25">
        <v>1</v>
      </c>
      <c r="M46" s="25">
        <v>1</v>
      </c>
      <c r="N46" s="25">
        <v>1</v>
      </c>
      <c r="O46" s="25">
        <v>1</v>
      </c>
      <c r="P46" s="25">
        <v>1</v>
      </c>
      <c r="Q46" s="25">
        <v>1</v>
      </c>
      <c r="R46" s="81">
        <v>1</v>
      </c>
      <c r="S46" s="25">
        <v>1</v>
      </c>
      <c r="T46" s="25">
        <v>1</v>
      </c>
      <c r="U46" s="25">
        <v>1</v>
      </c>
      <c r="V46" s="25">
        <v>1</v>
      </c>
      <c r="W46" s="25">
        <v>1</v>
      </c>
    </row>
    <row r="47" spans="1:23" ht="15.75">
      <c r="A47" s="67" t="s">
        <v>123</v>
      </c>
      <c r="B47" s="79"/>
      <c r="C47" s="2"/>
      <c r="D47" s="79"/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5</v>
      </c>
      <c r="N47" s="25">
        <v>0</v>
      </c>
      <c r="O47" s="25">
        <v>0</v>
      </c>
      <c r="P47" s="25">
        <v>0</v>
      </c>
      <c r="Q47" s="25">
        <v>0</v>
      </c>
      <c r="R47" s="81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</row>
    <row r="48" spans="1:23" ht="15.75">
      <c r="A48" s="67" t="s">
        <v>288</v>
      </c>
      <c r="B48" s="79"/>
      <c r="C48" s="80"/>
      <c r="D48" s="79"/>
      <c r="E48" s="80"/>
      <c r="F48" s="80"/>
      <c r="G48" s="80"/>
      <c r="H48" s="80"/>
      <c r="I48" s="80"/>
      <c r="J48" s="80"/>
      <c r="K48" s="80"/>
      <c r="L48" s="80"/>
      <c r="M48" s="25">
        <v>11111111</v>
      </c>
      <c r="N48" s="80"/>
      <c r="O48" s="80"/>
      <c r="P48" s="80"/>
      <c r="Q48" s="80"/>
      <c r="R48" s="80"/>
      <c r="S48" s="80"/>
      <c r="T48" s="80"/>
      <c r="U48" s="80"/>
      <c r="V48" s="80"/>
      <c r="W48" s="80"/>
    </row>
    <row r="49" spans="1:23" ht="15.75">
      <c r="A49" s="67" t="s">
        <v>289</v>
      </c>
      <c r="B49" s="79"/>
      <c r="C49" s="80"/>
      <c r="D49" s="79"/>
      <c r="E49" s="80"/>
      <c r="F49" s="80"/>
      <c r="G49" s="80"/>
      <c r="H49" s="80"/>
      <c r="I49" s="80"/>
      <c r="J49" s="80"/>
      <c r="K49" s="80"/>
      <c r="L49" s="80"/>
      <c r="M49" s="25">
        <v>1111</v>
      </c>
      <c r="N49" s="80"/>
      <c r="O49" s="80"/>
      <c r="P49" s="80"/>
      <c r="Q49" s="80"/>
      <c r="R49" s="80"/>
      <c r="S49" s="80"/>
      <c r="T49" s="80"/>
      <c r="U49" s="80"/>
      <c r="V49" s="80"/>
      <c r="W49" s="80"/>
    </row>
    <row r="50" spans="1:23" ht="15.75">
      <c r="A50" s="67" t="s">
        <v>290</v>
      </c>
      <c r="B50" s="79"/>
      <c r="C50" s="80"/>
      <c r="D50" s="79"/>
      <c r="E50" s="80"/>
      <c r="F50" s="80"/>
      <c r="G50" s="80"/>
      <c r="H50" s="80"/>
      <c r="I50" s="80"/>
      <c r="J50" s="80"/>
      <c r="K50" s="80"/>
      <c r="L50" s="80"/>
      <c r="M50" s="25" t="s">
        <v>291</v>
      </c>
      <c r="N50" s="80"/>
      <c r="O50" s="80"/>
      <c r="P50" s="80"/>
      <c r="Q50" s="80"/>
      <c r="R50" s="80"/>
      <c r="S50" s="80"/>
      <c r="T50" s="80"/>
      <c r="U50" s="80"/>
      <c r="V50" s="80"/>
      <c r="W50" s="80"/>
    </row>
    <row r="51" spans="1:23" ht="15.75">
      <c r="A51" s="67" t="s">
        <v>292</v>
      </c>
      <c r="B51" s="79"/>
      <c r="C51" s="80"/>
      <c r="D51" s="79"/>
      <c r="E51" s="80"/>
      <c r="F51" s="80"/>
      <c r="G51" s="80"/>
      <c r="H51" s="80"/>
      <c r="I51" s="80"/>
      <c r="J51" s="80"/>
      <c r="K51" s="80"/>
      <c r="L51" s="80"/>
      <c r="M51" s="25" t="s">
        <v>293</v>
      </c>
      <c r="N51" s="80"/>
      <c r="O51" s="80"/>
      <c r="P51" s="80"/>
      <c r="Q51" s="80"/>
      <c r="R51" s="80"/>
      <c r="S51" s="80"/>
      <c r="T51" s="80"/>
      <c r="U51" s="80"/>
      <c r="V51" s="80"/>
      <c r="W51" s="80"/>
    </row>
    <row r="52" spans="1:23" ht="15.75">
      <c r="A52" s="67" t="s">
        <v>128</v>
      </c>
      <c r="B52" s="79"/>
      <c r="C52" s="25"/>
      <c r="D52" s="79"/>
      <c r="E52" s="25" t="s">
        <v>130</v>
      </c>
      <c r="F52" s="25" t="s">
        <v>130</v>
      </c>
      <c r="G52" s="25" t="s">
        <v>130</v>
      </c>
      <c r="H52" s="25" t="s">
        <v>130</v>
      </c>
      <c r="I52" s="25" t="s">
        <v>130</v>
      </c>
      <c r="J52" s="25" t="s">
        <v>130</v>
      </c>
      <c r="K52" s="25" t="s">
        <v>130</v>
      </c>
      <c r="L52" s="25" t="s">
        <v>130</v>
      </c>
      <c r="M52" s="25" t="s">
        <v>130</v>
      </c>
      <c r="N52" s="25" t="s">
        <v>130</v>
      </c>
      <c r="O52" s="25" t="s">
        <v>130</v>
      </c>
      <c r="P52" s="25" t="s">
        <v>130</v>
      </c>
      <c r="Q52" s="25" t="s">
        <v>130</v>
      </c>
      <c r="R52" s="25" t="s">
        <v>130</v>
      </c>
      <c r="S52" s="25" t="s">
        <v>130</v>
      </c>
      <c r="T52" s="25" t="s">
        <v>130</v>
      </c>
      <c r="U52" s="25" t="s">
        <v>130</v>
      </c>
      <c r="V52" s="25" t="s">
        <v>130</v>
      </c>
      <c r="W52" s="25" t="s">
        <v>130</v>
      </c>
    </row>
    <row r="53" spans="1:23" ht="15.75">
      <c r="A53" s="67" t="s">
        <v>131</v>
      </c>
      <c r="B53" s="79"/>
      <c r="C53" s="25"/>
      <c r="D53" s="79"/>
      <c r="E53" s="25" t="s">
        <v>294</v>
      </c>
      <c r="F53" s="25" t="s">
        <v>294</v>
      </c>
      <c r="G53" s="25" t="s">
        <v>294</v>
      </c>
      <c r="H53" s="25" t="s">
        <v>294</v>
      </c>
      <c r="I53" s="25" t="s">
        <v>294</v>
      </c>
      <c r="J53" s="25" t="s">
        <v>294</v>
      </c>
      <c r="K53" s="25">
        <v>3</v>
      </c>
      <c r="L53" s="25">
        <v>3</v>
      </c>
      <c r="M53" s="25">
        <v>3</v>
      </c>
      <c r="N53" s="25">
        <v>3</v>
      </c>
      <c r="O53" s="25">
        <v>3.55</v>
      </c>
      <c r="P53" s="25">
        <v>3.55</v>
      </c>
      <c r="Q53" s="25" t="s">
        <v>294</v>
      </c>
      <c r="R53" s="25" t="s">
        <v>294</v>
      </c>
      <c r="S53" s="25" t="s">
        <v>294</v>
      </c>
      <c r="T53" s="25" t="s">
        <v>294</v>
      </c>
      <c r="U53" s="25" t="s">
        <v>294</v>
      </c>
      <c r="V53" s="25" t="s">
        <v>294</v>
      </c>
      <c r="W53" s="25" t="s">
        <v>294</v>
      </c>
    </row>
    <row r="54" spans="1:23" ht="15.75">
      <c r="A54" s="67" t="s">
        <v>295</v>
      </c>
      <c r="B54" s="79"/>
      <c r="C54" s="25"/>
      <c r="D54" s="79"/>
      <c r="E54" s="25" t="s">
        <v>90</v>
      </c>
      <c r="F54" s="25" t="s">
        <v>90</v>
      </c>
      <c r="G54" s="25" t="s">
        <v>90</v>
      </c>
      <c r="H54" s="25" t="s">
        <v>90</v>
      </c>
      <c r="I54" s="25" t="s">
        <v>90</v>
      </c>
      <c r="J54" s="25" t="s">
        <v>90</v>
      </c>
      <c r="K54" s="25" t="s">
        <v>90</v>
      </c>
      <c r="L54" s="25" t="s">
        <v>89</v>
      </c>
      <c r="M54" s="25" t="s">
        <v>90</v>
      </c>
      <c r="N54" s="25" t="s">
        <v>90</v>
      </c>
      <c r="O54" s="25" t="s">
        <v>90</v>
      </c>
      <c r="P54" s="25" t="s">
        <v>90</v>
      </c>
      <c r="Q54" s="25" t="s">
        <v>90</v>
      </c>
      <c r="R54" s="25" t="s">
        <v>90</v>
      </c>
      <c r="S54" s="25" t="s">
        <v>90</v>
      </c>
      <c r="T54" s="25" t="s">
        <v>90</v>
      </c>
      <c r="U54" s="25" t="s">
        <v>90</v>
      </c>
      <c r="V54" s="25" t="s">
        <v>90</v>
      </c>
      <c r="W54" s="25" t="s">
        <v>90</v>
      </c>
    </row>
    <row r="55" spans="1:23" ht="15.75">
      <c r="A55" s="67" t="s">
        <v>296</v>
      </c>
      <c r="B55" s="79"/>
      <c r="C55" s="76"/>
      <c r="D55" s="79"/>
      <c r="E55" s="76"/>
      <c r="F55" s="76"/>
      <c r="G55" s="76"/>
      <c r="H55" s="76"/>
      <c r="I55" s="76"/>
      <c r="J55" s="76"/>
      <c r="K55" s="80"/>
      <c r="L55" s="25">
        <v>11111111</v>
      </c>
      <c r="M55" s="80"/>
      <c r="N55" s="80"/>
      <c r="O55" s="80"/>
      <c r="P55" s="80"/>
      <c r="Q55" s="80"/>
      <c r="R55" s="80"/>
      <c r="S55" s="76"/>
      <c r="T55" s="76"/>
      <c r="U55" s="76"/>
      <c r="V55" s="76"/>
      <c r="W55" s="76"/>
    </row>
    <row r="56" spans="1:23" ht="15.75">
      <c r="A56" s="67" t="s">
        <v>297</v>
      </c>
      <c r="B56" s="79"/>
      <c r="C56" s="76"/>
      <c r="D56" s="79"/>
      <c r="E56" s="76"/>
      <c r="F56" s="76"/>
      <c r="G56" s="76"/>
      <c r="H56" s="76"/>
      <c r="I56" s="76"/>
      <c r="J56" s="76"/>
      <c r="K56" s="80"/>
      <c r="L56" s="25">
        <v>545</v>
      </c>
      <c r="M56" s="80"/>
      <c r="N56" s="80"/>
      <c r="O56" s="80"/>
      <c r="P56" s="80"/>
      <c r="Q56" s="80"/>
      <c r="R56" s="80"/>
      <c r="S56" s="76"/>
      <c r="T56" s="76"/>
      <c r="U56" s="76"/>
      <c r="V56" s="76"/>
      <c r="W56" s="76"/>
    </row>
    <row r="57" spans="1:23" ht="15.75">
      <c r="A57" s="67" t="s">
        <v>298</v>
      </c>
      <c r="B57" s="79"/>
      <c r="C57" s="25"/>
      <c r="D57" s="79"/>
      <c r="E57" s="25" t="s">
        <v>90</v>
      </c>
      <c r="F57" s="25" t="s">
        <v>90</v>
      </c>
      <c r="G57" s="25" t="s">
        <v>90</v>
      </c>
      <c r="H57" s="25" t="s">
        <v>90</v>
      </c>
      <c r="I57" s="25" t="s">
        <v>90</v>
      </c>
      <c r="J57" s="25" t="s">
        <v>90</v>
      </c>
      <c r="K57" s="25" t="s">
        <v>90</v>
      </c>
      <c r="L57" s="25" t="s">
        <v>90</v>
      </c>
      <c r="M57" s="25" t="s">
        <v>90</v>
      </c>
      <c r="N57" s="25" t="s">
        <v>89</v>
      </c>
      <c r="O57" s="25" t="s">
        <v>90</v>
      </c>
      <c r="P57" s="25" t="s">
        <v>89</v>
      </c>
      <c r="Q57" s="25" t="s">
        <v>90</v>
      </c>
      <c r="R57" s="25" t="s">
        <v>90</v>
      </c>
      <c r="S57" s="25" t="s">
        <v>90</v>
      </c>
      <c r="T57" s="25" t="s">
        <v>90</v>
      </c>
      <c r="U57" s="25" t="s">
        <v>90</v>
      </c>
      <c r="V57" s="25" t="s">
        <v>90</v>
      </c>
      <c r="W57" s="25" t="s">
        <v>90</v>
      </c>
    </row>
    <row r="58" spans="1:23" ht="15.75">
      <c r="A58" s="67" t="s">
        <v>299</v>
      </c>
      <c r="B58" s="79"/>
      <c r="C58" s="76"/>
      <c r="D58" s="79"/>
      <c r="E58" s="76"/>
      <c r="F58" s="76"/>
      <c r="G58" s="76"/>
      <c r="H58" s="76"/>
      <c r="I58" s="80"/>
      <c r="J58" s="80"/>
      <c r="K58" s="80"/>
      <c r="L58" s="80"/>
      <c r="M58" s="80"/>
      <c r="N58" s="25">
        <v>112</v>
      </c>
      <c r="O58" s="80"/>
      <c r="P58" s="25">
        <v>178</v>
      </c>
      <c r="Q58" s="80"/>
      <c r="R58" s="80"/>
      <c r="S58" s="76"/>
      <c r="T58" s="76"/>
      <c r="U58" s="76"/>
      <c r="V58" s="76"/>
      <c r="W58" s="76"/>
    </row>
    <row r="59" spans="1:23" ht="15.75">
      <c r="A59" s="67" t="s">
        <v>135</v>
      </c>
      <c r="B59" s="79"/>
      <c r="C59" s="25"/>
      <c r="D59" s="79"/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81">
        <v>0.1</v>
      </c>
      <c r="P59" s="81">
        <v>0.23</v>
      </c>
      <c r="Q59" s="81">
        <v>0</v>
      </c>
      <c r="R59" s="81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</row>
    <row r="60" spans="1:23" ht="31.5">
      <c r="A60" s="67" t="s">
        <v>362</v>
      </c>
      <c r="B60" s="79" t="s">
        <v>363</v>
      </c>
      <c r="C60" s="25"/>
      <c r="D60" s="79"/>
      <c r="E60" s="25" t="s">
        <v>90</v>
      </c>
      <c r="F60" s="25" t="s">
        <v>89</v>
      </c>
      <c r="G60" s="25" t="s">
        <v>90</v>
      </c>
      <c r="H60" s="25" t="s">
        <v>89</v>
      </c>
      <c r="I60" s="25" t="s">
        <v>90</v>
      </c>
      <c r="J60" s="25" t="s">
        <v>90</v>
      </c>
      <c r="K60" s="25" t="s">
        <v>89</v>
      </c>
      <c r="L60" s="25" t="s">
        <v>89</v>
      </c>
      <c r="M60" s="25" t="s">
        <v>90</v>
      </c>
      <c r="N60" s="25" t="s">
        <v>89</v>
      </c>
      <c r="O60" s="25" t="s">
        <v>90</v>
      </c>
      <c r="P60" s="25" t="s">
        <v>90</v>
      </c>
      <c r="Q60" s="25" t="s">
        <v>90</v>
      </c>
      <c r="R60" s="25" t="s">
        <v>90</v>
      </c>
      <c r="S60" s="25" t="s">
        <v>90</v>
      </c>
      <c r="T60" s="25" t="s">
        <v>90</v>
      </c>
      <c r="U60" s="25" t="s">
        <v>89</v>
      </c>
      <c r="V60" s="25" t="s">
        <v>90</v>
      </c>
      <c r="W60" s="25" t="s">
        <v>90</v>
      </c>
    </row>
    <row r="61" spans="1:23" ht="15.75">
      <c r="A61" s="64" t="s">
        <v>307</v>
      </c>
      <c r="B61" s="64"/>
      <c r="C61" s="91"/>
      <c r="D61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</row>
    <row r="62" spans="1:23" ht="15.75">
      <c r="A62" s="82" t="s">
        <v>137</v>
      </c>
      <c r="B62" s="82"/>
      <c r="C62" s="2"/>
      <c r="D62" s="82"/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249</v>
      </c>
      <c r="N62" s="25">
        <v>0</v>
      </c>
      <c r="O62" s="25">
        <v>0</v>
      </c>
      <c r="P62" s="25">
        <v>0</v>
      </c>
      <c r="Q62" s="25">
        <v>0</v>
      </c>
      <c r="R62" s="81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</row>
    <row r="63" spans="1:23" ht="15.75">
      <c r="A63" s="67" t="s">
        <v>300</v>
      </c>
      <c r="B63" s="82"/>
      <c r="C63" s="2"/>
      <c r="D63" s="82"/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255</v>
      </c>
      <c r="N63" s="25">
        <v>0</v>
      </c>
      <c r="O63" s="25">
        <v>0</v>
      </c>
      <c r="P63" s="25">
        <v>0</v>
      </c>
      <c r="Q63" s="25">
        <v>0</v>
      </c>
      <c r="R63" s="81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</row>
    <row r="64" spans="1:23" ht="15.75">
      <c r="A64" s="67" t="s">
        <v>138</v>
      </c>
      <c r="B64" s="67"/>
      <c r="C64" s="2"/>
      <c r="D64" s="67"/>
      <c r="E64" s="25">
        <v>2</v>
      </c>
      <c r="F64" s="25">
        <v>2</v>
      </c>
      <c r="G64" s="25">
        <v>2</v>
      </c>
      <c r="H64" s="25">
        <v>2</v>
      </c>
      <c r="I64" s="25">
        <v>2</v>
      </c>
      <c r="J64" s="25">
        <v>2</v>
      </c>
      <c r="K64" s="25">
        <v>2</v>
      </c>
      <c r="L64" s="25">
        <v>2</v>
      </c>
      <c r="M64" s="25">
        <v>2</v>
      </c>
      <c r="N64" s="25">
        <v>2</v>
      </c>
      <c r="O64" s="25">
        <v>2</v>
      </c>
      <c r="P64" s="25">
        <v>2</v>
      </c>
      <c r="Q64" s="25">
        <v>2</v>
      </c>
      <c r="R64" s="81">
        <v>2</v>
      </c>
      <c r="S64" s="25">
        <v>2</v>
      </c>
      <c r="T64" s="25">
        <v>2</v>
      </c>
      <c r="U64" s="25">
        <v>2</v>
      </c>
      <c r="V64" s="25">
        <v>2</v>
      </c>
      <c r="W64" s="25">
        <v>2</v>
      </c>
    </row>
    <row r="65" spans="1:23" ht="15.75">
      <c r="A65" s="67" t="s">
        <v>139</v>
      </c>
      <c r="B65" s="67"/>
      <c r="C65" s="2"/>
      <c r="D65" s="67"/>
      <c r="E65" s="25" t="s">
        <v>140</v>
      </c>
      <c r="F65" s="25" t="s">
        <v>140</v>
      </c>
      <c r="G65" s="25" t="s">
        <v>102</v>
      </c>
      <c r="H65" s="25" t="s">
        <v>140</v>
      </c>
      <c r="I65" s="25" t="s">
        <v>140</v>
      </c>
      <c r="J65" s="25" t="s">
        <v>102</v>
      </c>
      <c r="K65" s="25" t="s">
        <v>140</v>
      </c>
      <c r="L65" s="25" t="s">
        <v>140</v>
      </c>
      <c r="M65" s="25" t="s">
        <v>140</v>
      </c>
      <c r="N65" s="25" t="s">
        <v>140</v>
      </c>
      <c r="O65" s="25" t="s">
        <v>140</v>
      </c>
      <c r="P65" s="25" t="s">
        <v>140</v>
      </c>
      <c r="Q65" s="25" t="s">
        <v>140</v>
      </c>
      <c r="R65" s="25" t="s">
        <v>140</v>
      </c>
      <c r="S65" s="25" t="s">
        <v>140</v>
      </c>
      <c r="T65" s="25" t="s">
        <v>140</v>
      </c>
      <c r="U65" s="25" t="s">
        <v>140</v>
      </c>
      <c r="V65" s="25" t="s">
        <v>140</v>
      </c>
      <c r="W65" s="25" t="s">
        <v>140</v>
      </c>
    </row>
    <row r="66" spans="1:23" ht="15.75">
      <c r="A66" s="67" t="s">
        <v>141</v>
      </c>
      <c r="B66" s="67"/>
      <c r="C66" s="30"/>
      <c r="D66" s="67"/>
      <c r="E66" s="83">
        <f>2/3</f>
        <v>0.6666666666666666</v>
      </c>
      <c r="F66" s="84">
        <f>5/6</f>
        <v>0.8333333333333334</v>
      </c>
      <c r="G66" s="84">
        <f>1/2</f>
        <v>0.5</v>
      </c>
      <c r="H66" s="84">
        <f>2/3</f>
        <v>0.6666666666666666</v>
      </c>
      <c r="I66" s="84">
        <f>2/3</f>
        <v>0.6666666666666666</v>
      </c>
      <c r="J66" s="84">
        <f>1/2</f>
        <v>0.5</v>
      </c>
      <c r="K66" s="84">
        <f>2/3</f>
        <v>0.6666666666666666</v>
      </c>
      <c r="L66" s="84">
        <f>2/3</f>
        <v>0.6666666666666666</v>
      </c>
      <c r="M66" s="84">
        <f>3/4</f>
        <v>0.75</v>
      </c>
      <c r="N66" s="84">
        <f aca="true" t="shared" si="4" ref="N66:U66">2/3</f>
        <v>0.6666666666666666</v>
      </c>
      <c r="O66" s="84">
        <f t="shared" si="4"/>
        <v>0.6666666666666666</v>
      </c>
      <c r="P66" s="84">
        <f t="shared" si="4"/>
        <v>0.6666666666666666</v>
      </c>
      <c r="Q66" s="84">
        <f t="shared" si="4"/>
        <v>0.6666666666666666</v>
      </c>
      <c r="R66" s="84">
        <f t="shared" si="4"/>
        <v>0.6666666666666666</v>
      </c>
      <c r="S66" s="84">
        <f t="shared" si="4"/>
        <v>0.6666666666666666</v>
      </c>
      <c r="T66" s="84">
        <f t="shared" si="4"/>
        <v>0.6666666666666666</v>
      </c>
      <c r="U66" s="84">
        <f t="shared" si="4"/>
        <v>0.6666666666666666</v>
      </c>
      <c r="V66" s="84">
        <f>2/3</f>
        <v>0.6666666666666666</v>
      </c>
      <c r="W66" s="84">
        <f>2/3</f>
        <v>0.6666666666666666</v>
      </c>
    </row>
    <row r="67" spans="1:23" ht="15.75">
      <c r="A67" s="67" t="s">
        <v>147</v>
      </c>
      <c r="B67" s="67"/>
      <c r="C67" s="2"/>
      <c r="D67" s="67"/>
      <c r="E67" s="25">
        <v>64800</v>
      </c>
      <c r="F67" s="25">
        <v>64800</v>
      </c>
      <c r="G67" s="25">
        <v>64800</v>
      </c>
      <c r="H67" s="25">
        <v>64800</v>
      </c>
      <c r="I67" s="25">
        <v>64800</v>
      </c>
      <c r="J67" s="25">
        <v>64800</v>
      </c>
      <c r="K67" s="25">
        <v>64800</v>
      </c>
      <c r="L67" s="25">
        <v>64800</v>
      </c>
      <c r="M67" s="25">
        <v>64800</v>
      </c>
      <c r="N67" s="25">
        <v>64800</v>
      </c>
      <c r="O67" s="25">
        <v>64800</v>
      </c>
      <c r="P67" s="25">
        <v>64800</v>
      </c>
      <c r="Q67" s="25">
        <v>64800</v>
      </c>
      <c r="R67" s="25">
        <v>64800</v>
      </c>
      <c r="S67" s="25">
        <v>64800</v>
      </c>
      <c r="T67" s="25">
        <v>64800</v>
      </c>
      <c r="U67" s="25">
        <v>64800</v>
      </c>
      <c r="V67" s="25">
        <v>64800</v>
      </c>
      <c r="W67" s="25">
        <v>64800</v>
      </c>
    </row>
    <row r="68" spans="1:23" ht="15.75">
      <c r="A68" s="67" t="s">
        <v>148</v>
      </c>
      <c r="B68" s="67"/>
      <c r="C68" s="2"/>
      <c r="D68" s="67"/>
      <c r="E68" s="25" t="s">
        <v>89</v>
      </c>
      <c r="F68" s="25" t="s">
        <v>89</v>
      </c>
      <c r="G68" s="25" t="s">
        <v>89</v>
      </c>
      <c r="H68" s="25" t="s">
        <v>89</v>
      </c>
      <c r="I68" s="25" t="s">
        <v>89</v>
      </c>
      <c r="J68" s="25" t="s">
        <v>89</v>
      </c>
      <c r="K68" s="25" t="s">
        <v>89</v>
      </c>
      <c r="L68" s="25" t="s">
        <v>89</v>
      </c>
      <c r="M68" s="25" t="s">
        <v>89</v>
      </c>
      <c r="N68" s="25" t="s">
        <v>89</v>
      </c>
      <c r="O68" s="25" t="s">
        <v>89</v>
      </c>
      <c r="P68" s="25" t="s">
        <v>89</v>
      </c>
      <c r="Q68" s="25" t="s">
        <v>89</v>
      </c>
      <c r="R68" s="88" t="s">
        <v>343</v>
      </c>
      <c r="S68" s="25" t="s">
        <v>89</v>
      </c>
      <c r="T68" s="25" t="s">
        <v>89</v>
      </c>
      <c r="U68" s="25" t="s">
        <v>89</v>
      </c>
      <c r="V68" s="25" t="s">
        <v>89</v>
      </c>
      <c r="W68" s="25" t="s">
        <v>89</v>
      </c>
    </row>
    <row r="69" spans="1:23" ht="15.75">
      <c r="A69" s="67" t="s">
        <v>149</v>
      </c>
      <c r="B69" s="67" t="s">
        <v>150</v>
      </c>
      <c r="C69" s="2"/>
      <c r="D69" s="67"/>
      <c r="E69" s="25" t="s">
        <v>301</v>
      </c>
      <c r="F69" s="25" t="s">
        <v>301</v>
      </c>
      <c r="G69" s="25" t="s">
        <v>301</v>
      </c>
      <c r="H69" s="25" t="s">
        <v>301</v>
      </c>
      <c r="I69" s="25" t="s">
        <v>301</v>
      </c>
      <c r="J69" s="25" t="s">
        <v>301</v>
      </c>
      <c r="K69" s="25" t="s">
        <v>301</v>
      </c>
      <c r="L69" s="25" t="s">
        <v>301</v>
      </c>
      <c r="M69" s="25" t="s">
        <v>301</v>
      </c>
      <c r="N69" s="25" t="s">
        <v>301</v>
      </c>
      <c r="O69" s="25" t="s">
        <v>301</v>
      </c>
      <c r="P69" s="25" t="s">
        <v>301</v>
      </c>
      <c r="Q69" s="25" t="s">
        <v>301</v>
      </c>
      <c r="R69" s="25">
        <v>30</v>
      </c>
      <c r="S69" s="25" t="s">
        <v>301</v>
      </c>
      <c r="T69" s="25" t="s">
        <v>301</v>
      </c>
      <c r="U69" s="25" t="s">
        <v>301</v>
      </c>
      <c r="V69" s="25" t="s">
        <v>301</v>
      </c>
      <c r="W69" s="25" t="s">
        <v>301</v>
      </c>
    </row>
    <row r="70" spans="1:23" ht="15.75">
      <c r="A70" s="67" t="s">
        <v>151</v>
      </c>
      <c r="B70" s="67" t="s">
        <v>152</v>
      </c>
      <c r="C70" s="2"/>
      <c r="D70" s="67"/>
      <c r="E70" s="25">
        <v>57</v>
      </c>
      <c r="F70" s="25">
        <v>53</v>
      </c>
      <c r="G70" s="25">
        <v>14</v>
      </c>
      <c r="H70" s="25">
        <v>50</v>
      </c>
      <c r="I70" s="25">
        <v>57</v>
      </c>
      <c r="J70" s="25">
        <v>14</v>
      </c>
      <c r="K70" s="25">
        <v>50</v>
      </c>
      <c r="L70" s="25">
        <v>50</v>
      </c>
      <c r="M70" s="25">
        <v>13</v>
      </c>
      <c r="N70" s="25">
        <v>50</v>
      </c>
      <c r="O70" s="25">
        <v>50</v>
      </c>
      <c r="P70" s="25">
        <v>50</v>
      </c>
      <c r="Q70" s="25">
        <v>57</v>
      </c>
      <c r="R70" s="81">
        <v>30</v>
      </c>
      <c r="S70" s="25">
        <v>50</v>
      </c>
      <c r="T70" s="25">
        <v>50</v>
      </c>
      <c r="U70" s="25">
        <v>50</v>
      </c>
      <c r="V70" s="25">
        <v>50</v>
      </c>
      <c r="W70" s="25">
        <v>50</v>
      </c>
    </row>
    <row r="71" spans="1:23" ht="12.75" customHeight="1">
      <c r="A71" s="67" t="s">
        <v>153</v>
      </c>
      <c r="B71" s="67" t="s">
        <v>154</v>
      </c>
      <c r="C71" s="2"/>
      <c r="D71" s="67"/>
      <c r="E71" s="25">
        <v>1</v>
      </c>
      <c r="F71" s="25">
        <v>1</v>
      </c>
      <c r="G71" s="25">
        <v>1</v>
      </c>
      <c r="H71" s="25">
        <v>1</v>
      </c>
      <c r="I71" s="25">
        <v>1</v>
      </c>
      <c r="J71" s="25">
        <v>1</v>
      </c>
      <c r="K71" s="25">
        <v>1</v>
      </c>
      <c r="L71" s="25">
        <v>1</v>
      </c>
      <c r="M71" s="25">
        <v>1</v>
      </c>
      <c r="N71" s="25">
        <v>1</v>
      </c>
      <c r="O71" s="25">
        <v>1</v>
      </c>
      <c r="P71" s="25">
        <v>1</v>
      </c>
      <c r="Q71" s="25">
        <v>1</v>
      </c>
      <c r="R71" s="25">
        <v>1</v>
      </c>
      <c r="S71" s="25">
        <v>1</v>
      </c>
      <c r="T71" s="25">
        <v>1</v>
      </c>
      <c r="U71" s="25">
        <v>1</v>
      </c>
      <c r="V71" s="25">
        <v>1</v>
      </c>
      <c r="W71" s="25">
        <v>1</v>
      </c>
    </row>
    <row r="72" spans="1:23" ht="15.75">
      <c r="A72" s="67" t="s">
        <v>155</v>
      </c>
      <c r="B72" s="67" t="s">
        <v>154</v>
      </c>
      <c r="C72" s="2"/>
      <c r="D72" s="67"/>
      <c r="E72" s="25">
        <v>1</v>
      </c>
      <c r="F72" s="25">
        <v>1</v>
      </c>
      <c r="G72" s="25">
        <v>1</v>
      </c>
      <c r="H72" s="25">
        <v>1</v>
      </c>
      <c r="I72" s="25">
        <v>1</v>
      </c>
      <c r="J72" s="25">
        <v>1</v>
      </c>
      <c r="K72" s="25">
        <v>1</v>
      </c>
      <c r="L72" s="25">
        <v>1</v>
      </c>
      <c r="M72" s="25">
        <v>1</v>
      </c>
      <c r="N72" s="25">
        <v>1</v>
      </c>
      <c r="O72" s="25">
        <v>1</v>
      </c>
      <c r="P72" s="25">
        <v>1</v>
      </c>
      <c r="Q72" s="25">
        <v>1</v>
      </c>
      <c r="R72" s="25">
        <v>1</v>
      </c>
      <c r="S72" s="25">
        <v>1</v>
      </c>
      <c r="T72" s="25">
        <v>1</v>
      </c>
      <c r="U72" s="25">
        <v>1</v>
      </c>
      <c r="V72" s="25">
        <v>1</v>
      </c>
      <c r="W72" s="25">
        <v>1</v>
      </c>
    </row>
    <row r="73" spans="1:23" ht="15.75">
      <c r="A73" s="67" t="s">
        <v>156</v>
      </c>
      <c r="B73" s="67"/>
      <c r="C73" s="2"/>
      <c r="D73" s="67"/>
      <c r="E73" s="25">
        <v>1</v>
      </c>
      <c r="F73" s="25">
        <v>1</v>
      </c>
      <c r="G73" s="25">
        <v>1</v>
      </c>
      <c r="H73" s="25">
        <v>1</v>
      </c>
      <c r="I73" s="25">
        <v>1</v>
      </c>
      <c r="J73" s="25">
        <v>1</v>
      </c>
      <c r="K73" s="25">
        <v>1</v>
      </c>
      <c r="L73" s="25">
        <v>1</v>
      </c>
      <c r="M73" s="25">
        <v>1</v>
      </c>
      <c r="N73" s="25">
        <v>1</v>
      </c>
      <c r="O73" s="25">
        <v>1</v>
      </c>
      <c r="P73" s="25">
        <v>1</v>
      </c>
      <c r="Q73" s="25">
        <v>1</v>
      </c>
      <c r="R73" s="25">
        <v>1</v>
      </c>
      <c r="S73" s="25">
        <v>1</v>
      </c>
      <c r="T73" s="25">
        <v>1</v>
      </c>
      <c r="U73" s="25">
        <v>1</v>
      </c>
      <c r="V73" s="25">
        <v>1</v>
      </c>
      <c r="W73" s="25">
        <v>1</v>
      </c>
    </row>
    <row r="74" spans="1:23" ht="15.75">
      <c r="A74" s="67" t="s">
        <v>302</v>
      </c>
      <c r="B74" s="67"/>
      <c r="C74" s="2"/>
      <c r="D74" s="67"/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  <c r="U74" s="25">
        <v>0</v>
      </c>
      <c r="V74" s="25">
        <v>0</v>
      </c>
      <c r="W74" s="25">
        <v>0</v>
      </c>
    </row>
    <row r="75" spans="1:23" ht="15.75">
      <c r="A75" s="85" t="s">
        <v>159</v>
      </c>
      <c r="B75" s="64"/>
      <c r="C75"/>
      <c r="D75"/>
      <c r="E75"/>
      <c r="L75" s="25"/>
      <c r="M75" s="25"/>
      <c r="N75" s="25"/>
      <c r="P75" s="25"/>
      <c r="R75" s="64"/>
      <c r="S75" s="25"/>
      <c r="T75" s="25"/>
      <c r="U75" s="25"/>
      <c r="V75" s="25"/>
      <c r="W75" s="25"/>
    </row>
    <row r="76" spans="1:23" ht="15.75">
      <c r="A76" s="67" t="s">
        <v>160</v>
      </c>
      <c r="B76" s="67"/>
      <c r="C76" s="2"/>
      <c r="D76" s="67"/>
      <c r="E76" s="25" t="s">
        <v>161</v>
      </c>
      <c r="F76" s="25" t="s">
        <v>161</v>
      </c>
      <c r="G76" s="25" t="s">
        <v>161</v>
      </c>
      <c r="H76" s="25" t="s">
        <v>161</v>
      </c>
      <c r="I76" s="25" t="s">
        <v>161</v>
      </c>
      <c r="J76" s="25" t="s">
        <v>161</v>
      </c>
      <c r="K76" s="25" t="s">
        <v>161</v>
      </c>
      <c r="L76" s="25" t="s">
        <v>161</v>
      </c>
      <c r="M76" s="25" t="s">
        <v>161</v>
      </c>
      <c r="N76" s="25" t="s">
        <v>161</v>
      </c>
      <c r="O76" s="25" t="s">
        <v>161</v>
      </c>
      <c r="P76" s="25" t="s">
        <v>161</v>
      </c>
      <c r="Q76" s="25" t="s">
        <v>161</v>
      </c>
      <c r="R76" s="25" t="s">
        <v>161</v>
      </c>
      <c r="S76" s="25" t="s">
        <v>161</v>
      </c>
      <c r="T76" s="25" t="s">
        <v>161</v>
      </c>
      <c r="U76" s="25" t="s">
        <v>161</v>
      </c>
      <c r="V76" s="25" t="s">
        <v>161</v>
      </c>
      <c r="W76" s="25" t="s">
        <v>163</v>
      </c>
    </row>
    <row r="77" spans="1:23" ht="15.75">
      <c r="A77" s="67" t="s">
        <v>164</v>
      </c>
      <c r="B77" s="67"/>
      <c r="C77" s="2"/>
      <c r="D77" s="67"/>
      <c r="E77" s="25" t="s">
        <v>89</v>
      </c>
      <c r="F77" s="25" t="s">
        <v>89</v>
      </c>
      <c r="G77" s="25" t="s">
        <v>89</v>
      </c>
      <c r="H77" s="25" t="s">
        <v>89</v>
      </c>
      <c r="I77" s="25" t="s">
        <v>89</v>
      </c>
      <c r="J77" s="25" t="s">
        <v>89</v>
      </c>
      <c r="K77" s="25" t="s">
        <v>89</v>
      </c>
      <c r="L77" s="25" t="s">
        <v>89</v>
      </c>
      <c r="M77" s="25" t="s">
        <v>89</v>
      </c>
      <c r="N77" s="25" t="s">
        <v>89</v>
      </c>
      <c r="O77" s="25" t="s">
        <v>89</v>
      </c>
      <c r="P77" s="25" t="s">
        <v>89</v>
      </c>
      <c r="Q77" s="25" t="s">
        <v>89</v>
      </c>
      <c r="R77" s="25" t="s">
        <v>89</v>
      </c>
      <c r="S77" s="25" t="s">
        <v>89</v>
      </c>
      <c r="T77" s="25" t="s">
        <v>89</v>
      </c>
      <c r="U77" s="25" t="s">
        <v>89</v>
      </c>
      <c r="V77" s="25" t="s">
        <v>89</v>
      </c>
      <c r="W77" s="25" t="s">
        <v>89</v>
      </c>
    </row>
    <row r="78" spans="1:23" ht="15.75">
      <c r="A78" s="67" t="s">
        <v>166</v>
      </c>
      <c r="B78" s="67"/>
      <c r="C78" s="2"/>
      <c r="D78" s="67"/>
      <c r="E78" s="25">
        <f>204*8192</f>
        <v>1671168</v>
      </c>
      <c r="F78" s="25">
        <f>204*8192</f>
        <v>1671168</v>
      </c>
      <c r="G78" s="25">
        <f>128*8192</f>
        <v>1048576</v>
      </c>
      <c r="H78" s="25">
        <f>214*8192</f>
        <v>1753088</v>
      </c>
      <c r="I78" s="25">
        <f>204*8192</f>
        <v>1671168</v>
      </c>
      <c r="J78" s="25">
        <f>128*8192</f>
        <v>1048576</v>
      </c>
      <c r="K78" s="25">
        <f>214*8192</f>
        <v>1753088</v>
      </c>
      <c r="L78" s="25">
        <f>214*8192</f>
        <v>1753088</v>
      </c>
      <c r="M78" s="25">
        <f>1024*1024</f>
        <v>1048576</v>
      </c>
      <c r="N78" s="25">
        <f>214*8192</f>
        <v>1753088</v>
      </c>
      <c r="O78" s="25">
        <f>216*8192</f>
        <v>1769472</v>
      </c>
      <c r="P78" s="25">
        <f>216*8192</f>
        <v>1769472</v>
      </c>
      <c r="Q78" s="25">
        <f>204*8192</f>
        <v>1671168</v>
      </c>
      <c r="R78" s="81">
        <f>2*2^20</f>
        <v>2097152</v>
      </c>
      <c r="S78" s="25">
        <f>216*8192</f>
        <v>1769472</v>
      </c>
      <c r="T78" s="25">
        <f>216*8192</f>
        <v>1769472</v>
      </c>
      <c r="U78" s="25">
        <f>214*8192</f>
        <v>1753088</v>
      </c>
      <c r="V78" s="25">
        <f>216*8192</f>
        <v>1769472</v>
      </c>
      <c r="W78" s="25">
        <f>216*8192</f>
        <v>1769472</v>
      </c>
    </row>
    <row r="79" spans="1:23" ht="15.75">
      <c r="A79" s="67"/>
      <c r="B79" s="67"/>
      <c r="C79" s="100"/>
      <c r="D79" s="67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102"/>
      <c r="S79" s="86"/>
      <c r="T79" s="86"/>
      <c r="U79" s="86"/>
      <c r="V79" s="86"/>
      <c r="W79" s="86"/>
    </row>
    <row r="80" spans="1:23" ht="15.75">
      <c r="A80" s="67" t="s">
        <v>167</v>
      </c>
      <c r="B80" s="67"/>
      <c r="C80" s="2"/>
      <c r="D80" s="67"/>
      <c r="E80" s="25">
        <f>926720+12360</f>
        <v>939080</v>
      </c>
      <c r="F80" s="25">
        <f>926720+11046</f>
        <v>937766</v>
      </c>
      <c r="G80" s="25">
        <f>926720+25977</f>
        <v>952697</v>
      </c>
      <c r="H80" s="25">
        <f>931328+16922</f>
        <v>948250</v>
      </c>
      <c r="I80" s="25">
        <f>926720+12338</f>
        <v>939058</v>
      </c>
      <c r="J80" s="25">
        <f>926721+20987</f>
        <v>947708</v>
      </c>
      <c r="K80" s="25">
        <f>931328+16922</f>
        <v>948250</v>
      </c>
      <c r="L80" s="25">
        <f>931328+19571</f>
        <v>950899</v>
      </c>
      <c r="M80" s="25">
        <f>931328+24088</f>
        <v>955416</v>
      </c>
      <c r="N80" s="25">
        <f>931328+16047</f>
        <v>947375</v>
      </c>
      <c r="O80" s="25">
        <f>931328+20084</f>
        <v>951412</v>
      </c>
      <c r="P80" s="25">
        <f>931328+18657</f>
        <v>949985</v>
      </c>
      <c r="Q80" s="25">
        <f>926720+12574</f>
        <v>939294</v>
      </c>
      <c r="R80" s="81">
        <f>1131008+12089</f>
        <v>1143097</v>
      </c>
      <c r="S80" s="25">
        <f>931328+15294</f>
        <v>946622</v>
      </c>
      <c r="T80" s="25">
        <f>931328+15294</f>
        <v>946622</v>
      </c>
      <c r="U80" s="25">
        <f>931328+15372</f>
        <v>946700</v>
      </c>
      <c r="V80" s="25">
        <f>976896+11899</f>
        <v>988795</v>
      </c>
      <c r="W80" s="25">
        <f>926720+11899</f>
        <v>938619</v>
      </c>
    </row>
    <row r="81" spans="1:23" ht="15.75">
      <c r="A81" s="87" t="s">
        <v>84</v>
      </c>
      <c r="B81" s="67" t="s">
        <v>168</v>
      </c>
      <c r="C81" s="24"/>
      <c r="D81" s="67"/>
      <c r="E81" s="81" t="s">
        <v>89</v>
      </c>
      <c r="F81" s="25" t="s">
        <v>89</v>
      </c>
      <c r="G81" s="25" t="s">
        <v>89</v>
      </c>
      <c r="H81" s="25" t="s">
        <v>89</v>
      </c>
      <c r="I81" s="25" t="s">
        <v>89</v>
      </c>
      <c r="J81" s="25" t="s">
        <v>89</v>
      </c>
      <c r="K81" s="25" t="s">
        <v>89</v>
      </c>
      <c r="L81" s="25" t="s">
        <v>89</v>
      </c>
      <c r="M81" s="25" t="s">
        <v>89</v>
      </c>
      <c r="N81" s="25" t="s">
        <v>89</v>
      </c>
      <c r="O81" s="25" t="s">
        <v>89</v>
      </c>
      <c r="P81" s="25" t="s">
        <v>89</v>
      </c>
      <c r="Q81" s="25" t="s">
        <v>89</v>
      </c>
      <c r="R81" s="25" t="s">
        <v>90</v>
      </c>
      <c r="S81" s="25" t="s">
        <v>89</v>
      </c>
      <c r="T81" s="25" t="s">
        <v>89</v>
      </c>
      <c r="U81" s="25" t="s">
        <v>89</v>
      </c>
      <c r="V81" s="25" t="s">
        <v>89</v>
      </c>
      <c r="W81" s="25" t="s">
        <v>89</v>
      </c>
    </row>
    <row r="82" spans="1:23" ht="15.75">
      <c r="A82" s="87" t="s">
        <v>169</v>
      </c>
      <c r="B82" s="67"/>
      <c r="C82" s="88"/>
      <c r="D82" s="67"/>
      <c r="E82" s="88" t="s">
        <v>303</v>
      </c>
      <c r="F82" s="88" t="s">
        <v>303</v>
      </c>
      <c r="G82" s="88" t="s">
        <v>303</v>
      </c>
      <c r="H82" s="88" t="s">
        <v>303</v>
      </c>
      <c r="I82" s="88" t="s">
        <v>303</v>
      </c>
      <c r="J82" s="88" t="s">
        <v>303</v>
      </c>
      <c r="K82" s="88" t="s">
        <v>303</v>
      </c>
      <c r="L82" s="88" t="s">
        <v>303</v>
      </c>
      <c r="M82" s="88" t="s">
        <v>303</v>
      </c>
      <c r="N82" s="88" t="s">
        <v>303</v>
      </c>
      <c r="O82" s="88" t="s">
        <v>303</v>
      </c>
      <c r="P82" s="88" t="s">
        <v>303</v>
      </c>
      <c r="Q82" s="88" t="s">
        <v>304</v>
      </c>
      <c r="R82" s="88" t="s">
        <v>303</v>
      </c>
      <c r="S82" s="88" t="s">
        <v>303</v>
      </c>
      <c r="T82" s="88" t="s">
        <v>303</v>
      </c>
      <c r="U82" s="88" t="s">
        <v>303</v>
      </c>
      <c r="V82" s="88" t="s">
        <v>303</v>
      </c>
      <c r="W82" s="88" t="s">
        <v>303</v>
      </c>
    </row>
    <row r="83" spans="1:23" ht="31.5">
      <c r="A83" s="87" t="s">
        <v>171</v>
      </c>
      <c r="B83" s="67"/>
      <c r="C83" s="24"/>
      <c r="D83" s="67"/>
      <c r="E83" s="88"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  <c r="V83" s="25">
        <v>0</v>
      </c>
      <c r="W83" s="25">
        <v>0</v>
      </c>
    </row>
    <row r="84" spans="1:23" ht="31.5">
      <c r="A84" s="87" t="s">
        <v>305</v>
      </c>
      <c r="B84" s="67"/>
      <c r="C84" s="26"/>
      <c r="D84" s="67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</row>
    <row r="85" spans="1:23" ht="31.5">
      <c r="A85" s="87" t="s">
        <v>306</v>
      </c>
      <c r="B85" s="67"/>
      <c r="C85" s="26"/>
      <c r="D85" s="67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</row>
    <row r="86" spans="1:23" ht="15.75">
      <c r="A86" s="64" t="s">
        <v>308</v>
      </c>
      <c r="B86" s="64"/>
      <c r="C86" s="91"/>
      <c r="D86" s="64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</row>
    <row r="87" spans="1:23" ht="15.75">
      <c r="A87" s="82" t="s">
        <v>137</v>
      </c>
      <c r="B87" s="82"/>
      <c r="C87" s="2"/>
      <c r="D87" s="82"/>
      <c r="E87" s="25">
        <v>1</v>
      </c>
      <c r="F87" s="25">
        <v>1</v>
      </c>
      <c r="G87" s="25">
        <v>1</v>
      </c>
      <c r="H87" s="25">
        <v>1</v>
      </c>
      <c r="I87" s="25">
        <v>1</v>
      </c>
      <c r="J87" s="25">
        <v>1</v>
      </c>
      <c r="K87" s="25">
        <v>1</v>
      </c>
      <c r="L87" s="25">
        <v>1</v>
      </c>
      <c r="M87" s="25">
        <v>250</v>
      </c>
      <c r="N87" s="25">
        <v>1</v>
      </c>
      <c r="O87" s="25">
        <v>1</v>
      </c>
      <c r="P87" s="25">
        <v>1</v>
      </c>
      <c r="Q87" s="25">
        <v>1</v>
      </c>
      <c r="R87" s="25">
        <v>1</v>
      </c>
      <c r="S87" s="25">
        <v>1</v>
      </c>
      <c r="T87" s="25">
        <v>1</v>
      </c>
      <c r="U87" s="25">
        <v>1</v>
      </c>
      <c r="V87" s="25">
        <v>1</v>
      </c>
      <c r="W87" s="25">
        <v>1</v>
      </c>
    </row>
    <row r="88" spans="1:23" ht="15.75">
      <c r="A88" s="67" t="s">
        <v>300</v>
      </c>
      <c r="B88" s="82"/>
      <c r="C88" s="2"/>
      <c r="D88" s="82"/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255</v>
      </c>
      <c r="N88" s="25">
        <v>0</v>
      </c>
      <c r="O88" s="25">
        <v>0</v>
      </c>
      <c r="P88" s="25">
        <v>0</v>
      </c>
      <c r="Q88" s="25">
        <v>0</v>
      </c>
      <c r="R88" s="25">
        <v>1</v>
      </c>
      <c r="S88" s="25">
        <v>0</v>
      </c>
      <c r="T88" s="25">
        <v>0</v>
      </c>
      <c r="U88" s="25">
        <v>0</v>
      </c>
      <c r="V88" s="25">
        <v>0</v>
      </c>
      <c r="W88" s="25">
        <v>0</v>
      </c>
    </row>
    <row r="89" spans="1:23" ht="15.75">
      <c r="A89" s="67" t="s">
        <v>138</v>
      </c>
      <c r="B89" s="67"/>
      <c r="C89" s="2"/>
      <c r="D89" s="67"/>
      <c r="E89" s="25">
        <v>2</v>
      </c>
      <c r="F89" s="25">
        <v>2</v>
      </c>
      <c r="G89" s="25">
        <v>2</v>
      </c>
      <c r="H89" s="25">
        <v>2</v>
      </c>
      <c r="I89" s="25">
        <v>2</v>
      </c>
      <c r="J89" s="25">
        <v>2</v>
      </c>
      <c r="K89" s="25">
        <v>2</v>
      </c>
      <c r="L89" s="25">
        <v>2</v>
      </c>
      <c r="M89" s="25">
        <v>2</v>
      </c>
      <c r="N89" s="25">
        <v>2</v>
      </c>
      <c r="O89" s="25">
        <v>2</v>
      </c>
      <c r="P89" s="25">
        <v>2</v>
      </c>
      <c r="Q89" s="25">
        <v>2</v>
      </c>
      <c r="R89" s="25">
        <v>2</v>
      </c>
      <c r="S89" s="25">
        <v>2</v>
      </c>
      <c r="T89" s="25">
        <v>2</v>
      </c>
      <c r="U89" s="25">
        <v>2</v>
      </c>
      <c r="V89" s="25">
        <v>2</v>
      </c>
      <c r="W89" s="25">
        <v>2</v>
      </c>
    </row>
    <row r="90" spans="1:23" ht="15.75">
      <c r="A90" s="67" t="s">
        <v>139</v>
      </c>
      <c r="B90" s="67"/>
      <c r="C90" s="2"/>
      <c r="D90" s="67"/>
      <c r="E90" s="25" t="s">
        <v>140</v>
      </c>
      <c r="F90" s="25" t="s">
        <v>140</v>
      </c>
      <c r="G90" s="25" t="s">
        <v>102</v>
      </c>
      <c r="H90" s="25" t="s">
        <v>140</v>
      </c>
      <c r="I90" s="25" t="s">
        <v>140</v>
      </c>
      <c r="J90" s="25" t="s">
        <v>102</v>
      </c>
      <c r="K90" s="25" t="s">
        <v>140</v>
      </c>
      <c r="L90" s="25" t="s">
        <v>140</v>
      </c>
      <c r="M90" s="25" t="s">
        <v>140</v>
      </c>
      <c r="N90" s="25" t="s">
        <v>140</v>
      </c>
      <c r="O90" s="25" t="s">
        <v>140</v>
      </c>
      <c r="P90" s="25" t="s">
        <v>140</v>
      </c>
      <c r="Q90" s="25" t="s">
        <v>140</v>
      </c>
      <c r="R90" s="88" t="s">
        <v>345</v>
      </c>
      <c r="S90" s="25" t="s">
        <v>140</v>
      </c>
      <c r="T90" s="25" t="s">
        <v>140</v>
      </c>
      <c r="U90" s="25" t="s">
        <v>140</v>
      </c>
      <c r="V90" s="25" t="s">
        <v>140</v>
      </c>
      <c r="W90" s="25" t="s">
        <v>140</v>
      </c>
    </row>
    <row r="91" spans="1:23" ht="15.75">
      <c r="A91" s="67" t="s">
        <v>141</v>
      </c>
      <c r="B91" s="67"/>
      <c r="C91" s="30"/>
      <c r="D91" s="67"/>
      <c r="E91" s="83">
        <f>2/3</f>
        <v>0.6666666666666666</v>
      </c>
      <c r="F91" s="84">
        <f>5/6</f>
        <v>0.8333333333333334</v>
      </c>
      <c r="G91" s="84">
        <f>1/2</f>
        <v>0.5</v>
      </c>
      <c r="H91" s="84">
        <f>2/3</f>
        <v>0.6666666666666666</v>
      </c>
      <c r="I91" s="84">
        <f>2/3</f>
        <v>0.6666666666666666</v>
      </c>
      <c r="J91" s="84">
        <f>1/2</f>
        <v>0.5</v>
      </c>
      <c r="K91" s="84">
        <f>2/3</f>
        <v>0.6666666666666666</v>
      </c>
      <c r="L91" s="84">
        <f>2/3</f>
        <v>0.6666666666666666</v>
      </c>
      <c r="M91" s="84">
        <f>3/4</f>
        <v>0.75</v>
      </c>
      <c r="N91" s="84">
        <f>2/3</f>
        <v>0.6666666666666666</v>
      </c>
      <c r="O91" s="84">
        <f>2/3</f>
        <v>0.6666666666666666</v>
      </c>
      <c r="P91" s="84">
        <f>2/3</f>
        <v>0.6666666666666666</v>
      </c>
      <c r="Q91" s="84">
        <f>2/3</f>
        <v>0.6666666666666666</v>
      </c>
      <c r="R91" s="103" t="s">
        <v>346</v>
      </c>
      <c r="S91" s="84">
        <f>2/3</f>
        <v>0.6666666666666666</v>
      </c>
      <c r="T91" s="84">
        <f>2/3</f>
        <v>0.6666666666666666</v>
      </c>
      <c r="U91" s="84">
        <f>2/3</f>
        <v>0.6666666666666666</v>
      </c>
      <c r="V91" s="84">
        <f>2/3</f>
        <v>0.6666666666666666</v>
      </c>
      <c r="W91" s="84">
        <f>2/3</f>
        <v>0.6666666666666666</v>
      </c>
    </row>
    <row r="92" spans="1:23" ht="15.75">
      <c r="A92" s="67" t="s">
        <v>147</v>
      </c>
      <c r="B92" s="67"/>
      <c r="C92" s="2"/>
      <c r="D92" s="67"/>
      <c r="E92" s="25">
        <v>64800</v>
      </c>
      <c r="F92" s="25">
        <v>64800</v>
      </c>
      <c r="G92" s="25">
        <v>64800</v>
      </c>
      <c r="H92" s="25">
        <v>64800</v>
      </c>
      <c r="I92" s="25">
        <v>64800</v>
      </c>
      <c r="J92" s="25">
        <v>64800</v>
      </c>
      <c r="K92" s="25">
        <v>64800</v>
      </c>
      <c r="L92" s="25">
        <v>64800</v>
      </c>
      <c r="M92" s="25">
        <v>64800</v>
      </c>
      <c r="N92" s="25">
        <v>64800</v>
      </c>
      <c r="O92" s="25">
        <v>64800</v>
      </c>
      <c r="P92" s="25">
        <v>64800</v>
      </c>
      <c r="Q92" s="25">
        <v>64800</v>
      </c>
      <c r="R92" s="25">
        <v>64800</v>
      </c>
      <c r="S92" s="25">
        <v>64800</v>
      </c>
      <c r="T92" s="25">
        <v>64800</v>
      </c>
      <c r="U92" s="25">
        <v>64800</v>
      </c>
      <c r="V92" s="25">
        <v>64800</v>
      </c>
      <c r="W92" s="25">
        <v>64800</v>
      </c>
    </row>
    <row r="93" spans="1:23" ht="15.75">
      <c r="A93" s="67" t="s">
        <v>148</v>
      </c>
      <c r="B93" s="67"/>
      <c r="C93" s="2"/>
      <c r="D93" s="67"/>
      <c r="E93" s="25" t="s">
        <v>89</v>
      </c>
      <c r="F93" s="25" t="s">
        <v>89</v>
      </c>
      <c r="G93" s="25" t="s">
        <v>89</v>
      </c>
      <c r="H93" s="25" t="s">
        <v>89</v>
      </c>
      <c r="I93" s="25" t="s">
        <v>89</v>
      </c>
      <c r="J93" s="25" t="s">
        <v>89</v>
      </c>
      <c r="K93" s="25" t="s">
        <v>89</v>
      </c>
      <c r="L93" s="25" t="s">
        <v>89</v>
      </c>
      <c r="M93" s="25" t="s">
        <v>89</v>
      </c>
      <c r="N93" s="25" t="s">
        <v>89</v>
      </c>
      <c r="O93" s="25" t="s">
        <v>89</v>
      </c>
      <c r="P93" s="25" t="s">
        <v>89</v>
      </c>
      <c r="Q93" s="25" t="s">
        <v>89</v>
      </c>
      <c r="R93" s="88" t="s">
        <v>343</v>
      </c>
      <c r="S93" s="25" t="s">
        <v>89</v>
      </c>
      <c r="T93" s="25" t="s">
        <v>89</v>
      </c>
      <c r="U93" s="25" t="s">
        <v>89</v>
      </c>
      <c r="V93" s="25" t="s">
        <v>89</v>
      </c>
      <c r="W93" s="25" t="s">
        <v>89</v>
      </c>
    </row>
    <row r="94" spans="1:23" ht="15.75">
      <c r="A94" s="67" t="s">
        <v>149</v>
      </c>
      <c r="B94" s="67"/>
      <c r="C94" s="2"/>
      <c r="D94" s="67"/>
      <c r="E94" s="25" t="s">
        <v>301</v>
      </c>
      <c r="F94" s="25" t="s">
        <v>301</v>
      </c>
      <c r="G94" s="25" t="s">
        <v>301</v>
      </c>
      <c r="H94" s="25" t="s">
        <v>301</v>
      </c>
      <c r="I94" s="25" t="s">
        <v>301</v>
      </c>
      <c r="J94" s="25" t="s">
        <v>301</v>
      </c>
      <c r="K94" s="25" t="s">
        <v>301</v>
      </c>
      <c r="L94" s="25" t="s">
        <v>301</v>
      </c>
      <c r="M94" s="25" t="s">
        <v>301</v>
      </c>
      <c r="N94" s="25" t="s">
        <v>301</v>
      </c>
      <c r="O94" s="25" t="s">
        <v>301</v>
      </c>
      <c r="P94" s="25" t="s">
        <v>301</v>
      </c>
      <c r="Q94" s="25" t="s">
        <v>301</v>
      </c>
      <c r="R94" s="81">
        <v>32</v>
      </c>
      <c r="S94" s="25" t="s">
        <v>301</v>
      </c>
      <c r="T94" s="25" t="s">
        <v>301</v>
      </c>
      <c r="U94" s="25" t="s">
        <v>301</v>
      </c>
      <c r="V94" s="25" t="s">
        <v>301</v>
      </c>
      <c r="W94" s="25" t="s">
        <v>301</v>
      </c>
    </row>
    <row r="95" spans="1:23" ht="15.75">
      <c r="A95" s="67" t="s">
        <v>151</v>
      </c>
      <c r="B95" s="67"/>
      <c r="C95" s="2"/>
      <c r="D95" s="67"/>
      <c r="E95" s="25">
        <v>57</v>
      </c>
      <c r="F95" s="25">
        <v>53</v>
      </c>
      <c r="G95" s="25">
        <v>14</v>
      </c>
      <c r="H95" s="25">
        <v>50</v>
      </c>
      <c r="I95" s="25">
        <v>57</v>
      </c>
      <c r="J95" s="25">
        <v>14</v>
      </c>
      <c r="K95" s="25">
        <v>50</v>
      </c>
      <c r="L95" s="25">
        <v>50</v>
      </c>
      <c r="M95" s="25">
        <v>13</v>
      </c>
      <c r="N95" s="25">
        <v>50</v>
      </c>
      <c r="O95" s="25">
        <v>50</v>
      </c>
      <c r="P95" s="25">
        <v>50</v>
      </c>
      <c r="Q95" s="25">
        <v>57</v>
      </c>
      <c r="R95" s="81">
        <v>32</v>
      </c>
      <c r="S95" s="25">
        <v>50</v>
      </c>
      <c r="T95" s="25">
        <v>50</v>
      </c>
      <c r="U95" s="25">
        <v>50</v>
      </c>
      <c r="V95" s="25">
        <v>50</v>
      </c>
      <c r="W95" s="25">
        <v>50</v>
      </c>
    </row>
    <row r="96" spans="1:23" ht="15.75">
      <c r="A96" s="67" t="s">
        <v>153</v>
      </c>
      <c r="B96" s="67"/>
      <c r="C96" s="2"/>
      <c r="D96" s="67"/>
      <c r="E96" s="25">
        <v>1</v>
      </c>
      <c r="F96" s="25">
        <v>1</v>
      </c>
      <c r="G96" s="25">
        <v>1</v>
      </c>
      <c r="H96" s="25">
        <v>1</v>
      </c>
      <c r="I96" s="25">
        <v>1</v>
      </c>
      <c r="J96" s="25">
        <v>1</v>
      </c>
      <c r="K96" s="25">
        <v>1</v>
      </c>
      <c r="L96" s="25">
        <v>1</v>
      </c>
      <c r="M96" s="25">
        <v>1</v>
      </c>
      <c r="N96" s="25">
        <v>1</v>
      </c>
      <c r="O96" s="25">
        <v>1</v>
      </c>
      <c r="P96" s="25">
        <v>1</v>
      </c>
      <c r="Q96" s="25">
        <v>1</v>
      </c>
      <c r="R96" s="25">
        <v>1</v>
      </c>
      <c r="S96" s="25">
        <v>1</v>
      </c>
      <c r="T96" s="25">
        <v>1</v>
      </c>
      <c r="U96" s="25">
        <v>1</v>
      </c>
      <c r="V96" s="25">
        <v>1</v>
      </c>
      <c r="W96" s="25">
        <v>1</v>
      </c>
    </row>
    <row r="97" spans="1:23" ht="15.75">
      <c r="A97" s="67" t="s">
        <v>155</v>
      </c>
      <c r="B97" s="67"/>
      <c r="C97" s="2"/>
      <c r="D97" s="67"/>
      <c r="E97" s="25">
        <v>1</v>
      </c>
      <c r="F97" s="25">
        <v>1</v>
      </c>
      <c r="G97" s="25">
        <v>1</v>
      </c>
      <c r="H97" s="25">
        <v>1</v>
      </c>
      <c r="I97" s="25">
        <v>1</v>
      </c>
      <c r="J97" s="25">
        <v>1</v>
      </c>
      <c r="K97" s="25">
        <v>1</v>
      </c>
      <c r="L97" s="25">
        <v>1</v>
      </c>
      <c r="M97" s="25">
        <v>1</v>
      </c>
      <c r="N97" s="25">
        <v>1</v>
      </c>
      <c r="O97" s="25">
        <v>1</v>
      </c>
      <c r="P97" s="25">
        <v>1</v>
      </c>
      <c r="Q97" s="25">
        <v>1</v>
      </c>
      <c r="R97" s="25">
        <v>1</v>
      </c>
      <c r="S97" s="25">
        <v>1</v>
      </c>
      <c r="T97" s="25">
        <v>1</v>
      </c>
      <c r="U97" s="25">
        <v>1</v>
      </c>
      <c r="V97" s="25">
        <v>1</v>
      </c>
      <c r="W97" s="25">
        <v>1</v>
      </c>
    </row>
    <row r="98" spans="1:23" ht="15.75">
      <c r="A98" s="67" t="s">
        <v>156</v>
      </c>
      <c r="B98" s="67"/>
      <c r="C98" s="2"/>
      <c r="D98" s="67"/>
      <c r="E98" s="25">
        <v>1</v>
      </c>
      <c r="F98" s="25">
        <v>1</v>
      </c>
      <c r="G98" s="25">
        <v>1</v>
      </c>
      <c r="H98" s="25">
        <v>1</v>
      </c>
      <c r="I98" s="25">
        <v>1</v>
      </c>
      <c r="J98" s="25">
        <v>1</v>
      </c>
      <c r="K98" s="25">
        <v>1</v>
      </c>
      <c r="L98" s="25">
        <v>1</v>
      </c>
      <c r="M98" s="25">
        <v>1</v>
      </c>
      <c r="N98" s="25">
        <v>1</v>
      </c>
      <c r="O98" s="25">
        <v>1</v>
      </c>
      <c r="P98" s="25">
        <v>1</v>
      </c>
      <c r="Q98" s="25">
        <v>1</v>
      </c>
      <c r="R98" s="25">
        <v>1</v>
      </c>
      <c r="S98" s="25">
        <v>1</v>
      </c>
      <c r="T98" s="25">
        <v>1</v>
      </c>
      <c r="U98" s="25">
        <v>1</v>
      </c>
      <c r="V98" s="25">
        <v>1</v>
      </c>
      <c r="W98" s="25">
        <v>1</v>
      </c>
    </row>
    <row r="99" spans="1:23" ht="15.75">
      <c r="A99" s="67" t="s">
        <v>302</v>
      </c>
      <c r="B99" s="67"/>
      <c r="C99" s="2"/>
      <c r="D99" s="67"/>
      <c r="E99" s="2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25">
        <v>0</v>
      </c>
      <c r="Q99" s="25">
        <v>0</v>
      </c>
      <c r="R99" s="25">
        <v>0</v>
      </c>
      <c r="S99" s="25">
        <v>0</v>
      </c>
      <c r="T99" s="25">
        <v>0</v>
      </c>
      <c r="U99" s="25">
        <v>0</v>
      </c>
      <c r="V99" s="25">
        <v>0</v>
      </c>
      <c r="W99" s="25">
        <v>0</v>
      </c>
    </row>
    <row r="100" spans="1:23" ht="15.75">
      <c r="A100" s="85" t="s">
        <v>159</v>
      </c>
      <c r="B100" s="64"/>
      <c r="C100" s="91"/>
      <c r="D100" s="64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</row>
    <row r="101" spans="1:23" ht="15.75">
      <c r="A101" s="67" t="s">
        <v>160</v>
      </c>
      <c r="B101" s="67"/>
      <c r="C101" s="2"/>
      <c r="D101" s="67"/>
      <c r="E101" s="25" t="s">
        <v>161</v>
      </c>
      <c r="F101" s="25" t="s">
        <v>161</v>
      </c>
      <c r="G101" s="25" t="s">
        <v>161</v>
      </c>
      <c r="H101" s="25" t="s">
        <v>161</v>
      </c>
      <c r="I101" s="25" t="s">
        <v>161</v>
      </c>
      <c r="J101" s="25" t="s">
        <v>161</v>
      </c>
      <c r="K101" s="25" t="s">
        <v>161</v>
      </c>
      <c r="L101" s="25" t="s">
        <v>161</v>
      </c>
      <c r="M101" s="25" t="s">
        <v>161</v>
      </c>
      <c r="N101" s="25" t="s">
        <v>161</v>
      </c>
      <c r="O101" s="25" t="s">
        <v>161</v>
      </c>
      <c r="P101" s="25" t="s">
        <v>161</v>
      </c>
      <c r="Q101" s="25" t="s">
        <v>161</v>
      </c>
      <c r="R101" s="25" t="s">
        <v>161</v>
      </c>
      <c r="S101" s="25" t="s">
        <v>161</v>
      </c>
      <c r="T101" s="25" t="s">
        <v>161</v>
      </c>
      <c r="U101" s="25" t="s">
        <v>161</v>
      </c>
      <c r="V101" s="25" t="s">
        <v>161</v>
      </c>
      <c r="W101" s="25" t="s">
        <v>163</v>
      </c>
    </row>
    <row r="102" spans="1:23" ht="15.75">
      <c r="A102" s="67" t="s">
        <v>164</v>
      </c>
      <c r="B102" s="67"/>
      <c r="C102" s="2"/>
      <c r="D102" s="67"/>
      <c r="E102" s="25" t="s">
        <v>89</v>
      </c>
      <c r="F102" s="25" t="s">
        <v>89</v>
      </c>
      <c r="G102" s="25" t="s">
        <v>89</v>
      </c>
      <c r="H102" s="25" t="s">
        <v>89</v>
      </c>
      <c r="I102" s="25" t="s">
        <v>89</v>
      </c>
      <c r="J102" s="25" t="s">
        <v>89</v>
      </c>
      <c r="K102" s="25" t="s">
        <v>89</v>
      </c>
      <c r="L102" s="25" t="s">
        <v>89</v>
      </c>
      <c r="M102" s="25" t="s">
        <v>89</v>
      </c>
      <c r="N102" s="25" t="s">
        <v>89</v>
      </c>
      <c r="O102" s="25" t="s">
        <v>89</v>
      </c>
      <c r="P102" s="25" t="s">
        <v>89</v>
      </c>
      <c r="Q102" s="25" t="s">
        <v>89</v>
      </c>
      <c r="R102" s="25" t="s">
        <v>89</v>
      </c>
      <c r="S102" s="25" t="s">
        <v>89</v>
      </c>
      <c r="T102" s="25" t="s">
        <v>89</v>
      </c>
      <c r="U102" s="25" t="s">
        <v>89</v>
      </c>
      <c r="V102" s="25" t="s">
        <v>89</v>
      </c>
      <c r="W102" s="25" t="s">
        <v>89</v>
      </c>
    </row>
    <row r="103" spans="1:23" ht="15.75">
      <c r="A103" s="67" t="s">
        <v>166</v>
      </c>
      <c r="B103" s="67"/>
      <c r="C103" s="2"/>
      <c r="D103" s="67"/>
      <c r="E103" s="25">
        <f aca="true" t="shared" si="5" ref="E103:Q103">E78</f>
        <v>1671168</v>
      </c>
      <c r="F103" s="25">
        <f t="shared" si="5"/>
        <v>1671168</v>
      </c>
      <c r="G103" s="25">
        <f t="shared" si="5"/>
        <v>1048576</v>
      </c>
      <c r="H103" s="25">
        <f t="shared" si="5"/>
        <v>1753088</v>
      </c>
      <c r="I103" s="25">
        <f t="shared" si="5"/>
        <v>1671168</v>
      </c>
      <c r="J103" s="25">
        <f t="shared" si="5"/>
        <v>1048576</v>
      </c>
      <c r="K103" s="25">
        <f t="shared" si="5"/>
        <v>1753088</v>
      </c>
      <c r="L103" s="25">
        <f t="shared" si="5"/>
        <v>1753088</v>
      </c>
      <c r="M103" s="25">
        <f t="shared" si="5"/>
        <v>1048576</v>
      </c>
      <c r="N103" s="25">
        <f t="shared" si="5"/>
        <v>1753088</v>
      </c>
      <c r="O103" s="25">
        <f t="shared" si="5"/>
        <v>1769472</v>
      </c>
      <c r="P103" s="25">
        <f t="shared" si="5"/>
        <v>1769472</v>
      </c>
      <c r="Q103" s="25">
        <f t="shared" si="5"/>
        <v>1671168</v>
      </c>
      <c r="R103" s="25">
        <f aca="true" t="shared" si="6" ref="R103:W103">R78</f>
        <v>2097152</v>
      </c>
      <c r="S103" s="25">
        <f t="shared" si="6"/>
        <v>1769472</v>
      </c>
      <c r="T103" s="25">
        <f t="shared" si="6"/>
        <v>1769472</v>
      </c>
      <c r="U103" s="25">
        <f t="shared" si="6"/>
        <v>1753088</v>
      </c>
      <c r="V103" s="25">
        <f t="shared" si="6"/>
        <v>1769472</v>
      </c>
      <c r="W103" s="25">
        <f t="shared" si="6"/>
        <v>1769472</v>
      </c>
    </row>
    <row r="104" spans="1:23" ht="15.75">
      <c r="A104" s="67"/>
      <c r="B104" s="67"/>
      <c r="C104" s="100"/>
      <c r="D104" s="67"/>
      <c r="L104" s="25"/>
      <c r="M104" s="25"/>
      <c r="N104" s="25"/>
      <c r="P104" s="25"/>
      <c r="R104" s="81"/>
      <c r="S104" s="25"/>
      <c r="T104" s="25"/>
      <c r="U104" s="25"/>
      <c r="V104" s="25"/>
      <c r="W104" s="25"/>
    </row>
    <row r="105" spans="1:23" ht="15.75">
      <c r="A105" s="67" t="s">
        <v>167</v>
      </c>
      <c r="B105" s="67"/>
      <c r="C105" s="2"/>
      <c r="D105" s="67"/>
      <c r="E105" s="25">
        <f aca="true" t="shared" si="7" ref="E105:Q105">E80</f>
        <v>939080</v>
      </c>
      <c r="F105" s="25">
        <f t="shared" si="7"/>
        <v>937766</v>
      </c>
      <c r="G105" s="25">
        <f t="shared" si="7"/>
        <v>952697</v>
      </c>
      <c r="H105" s="25">
        <f t="shared" si="7"/>
        <v>948250</v>
      </c>
      <c r="I105" s="25">
        <f t="shared" si="7"/>
        <v>939058</v>
      </c>
      <c r="J105" s="25">
        <f t="shared" si="7"/>
        <v>947708</v>
      </c>
      <c r="K105" s="25">
        <f t="shared" si="7"/>
        <v>948250</v>
      </c>
      <c r="L105" s="25">
        <f t="shared" si="7"/>
        <v>950899</v>
      </c>
      <c r="M105" s="25">
        <f t="shared" si="7"/>
        <v>955416</v>
      </c>
      <c r="N105" s="25">
        <f t="shared" si="7"/>
        <v>947375</v>
      </c>
      <c r="O105" s="25">
        <f t="shared" si="7"/>
        <v>951412</v>
      </c>
      <c r="P105" s="25">
        <f t="shared" si="7"/>
        <v>949985</v>
      </c>
      <c r="Q105" s="25">
        <f t="shared" si="7"/>
        <v>939294</v>
      </c>
      <c r="R105" s="81">
        <f>1131008+12261</f>
        <v>1143269</v>
      </c>
      <c r="S105" s="25">
        <f>S80</f>
        <v>946622</v>
      </c>
      <c r="T105" s="25">
        <f>T80</f>
        <v>946622</v>
      </c>
      <c r="U105" s="25">
        <f>U80</f>
        <v>946700</v>
      </c>
      <c r="V105" s="25">
        <f>V80</f>
        <v>988795</v>
      </c>
      <c r="W105" s="25">
        <f>W80</f>
        <v>938619</v>
      </c>
    </row>
    <row r="106" spans="1:23" ht="15.75">
      <c r="A106" s="87" t="s">
        <v>84</v>
      </c>
      <c r="B106" s="67"/>
      <c r="C106" s="24"/>
      <c r="D106" s="67"/>
      <c r="E106" s="81" t="s">
        <v>89</v>
      </c>
      <c r="F106" s="25" t="s">
        <v>89</v>
      </c>
      <c r="G106" s="25" t="s">
        <v>89</v>
      </c>
      <c r="H106" s="25" t="s">
        <v>89</v>
      </c>
      <c r="I106" s="25" t="s">
        <v>89</v>
      </c>
      <c r="J106" s="25" t="s">
        <v>89</v>
      </c>
      <c r="K106" s="25" t="s">
        <v>89</v>
      </c>
      <c r="L106" s="25" t="s">
        <v>89</v>
      </c>
      <c r="M106" s="25" t="s">
        <v>89</v>
      </c>
      <c r="N106" s="25" t="s">
        <v>89</v>
      </c>
      <c r="O106" s="25" t="s">
        <v>89</v>
      </c>
      <c r="P106" s="25" t="s">
        <v>89</v>
      </c>
      <c r="Q106" s="25" t="s">
        <v>89</v>
      </c>
      <c r="R106" s="25" t="s">
        <v>90</v>
      </c>
      <c r="S106" s="25" t="s">
        <v>89</v>
      </c>
      <c r="T106" s="25" t="s">
        <v>89</v>
      </c>
      <c r="U106" s="25" t="s">
        <v>89</v>
      </c>
      <c r="V106" s="25" t="s">
        <v>89</v>
      </c>
      <c r="W106" s="25" t="s">
        <v>89</v>
      </c>
    </row>
    <row r="107" spans="1:23" ht="15.75">
      <c r="A107" s="87" t="s">
        <v>169</v>
      </c>
      <c r="B107" s="67"/>
      <c r="C107" s="88"/>
      <c r="D107" s="67"/>
      <c r="E107" s="88" t="s">
        <v>303</v>
      </c>
      <c r="F107" s="88" t="s">
        <v>303</v>
      </c>
      <c r="G107" s="88" t="s">
        <v>303</v>
      </c>
      <c r="H107" s="88" t="s">
        <v>303</v>
      </c>
      <c r="I107" s="88" t="s">
        <v>303</v>
      </c>
      <c r="J107" s="88" t="s">
        <v>303</v>
      </c>
      <c r="K107" s="88" t="s">
        <v>303</v>
      </c>
      <c r="L107" s="88" t="s">
        <v>303</v>
      </c>
      <c r="M107" s="88" t="s">
        <v>303</v>
      </c>
      <c r="N107" s="88" t="s">
        <v>303</v>
      </c>
      <c r="O107" s="88" t="s">
        <v>303</v>
      </c>
      <c r="P107" s="88" t="s">
        <v>303</v>
      </c>
      <c r="Q107" s="88" t="s">
        <v>304</v>
      </c>
      <c r="R107" s="88" t="s">
        <v>303</v>
      </c>
      <c r="S107" s="88" t="s">
        <v>303</v>
      </c>
      <c r="T107" s="88" t="s">
        <v>303</v>
      </c>
      <c r="U107" s="88" t="s">
        <v>303</v>
      </c>
      <c r="V107" s="88" t="s">
        <v>303</v>
      </c>
      <c r="W107" s="88" t="s">
        <v>303</v>
      </c>
    </row>
    <row r="108" spans="1:23" ht="31.5">
      <c r="A108" s="87" t="s">
        <v>171</v>
      </c>
      <c r="B108" s="67"/>
      <c r="C108" s="24"/>
      <c r="D108" s="67"/>
      <c r="E108" s="88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25">
        <v>0</v>
      </c>
      <c r="Q108" s="25">
        <v>0</v>
      </c>
      <c r="R108" s="25">
        <v>0</v>
      </c>
      <c r="S108" s="25">
        <v>0</v>
      </c>
      <c r="T108" s="25">
        <v>0</v>
      </c>
      <c r="U108" s="25">
        <v>0</v>
      </c>
      <c r="V108" s="25">
        <v>0</v>
      </c>
      <c r="W108" s="25">
        <v>0</v>
      </c>
    </row>
    <row r="109" spans="1:23" ht="31.5">
      <c r="A109" s="87" t="s">
        <v>305</v>
      </c>
      <c r="B109" s="67"/>
      <c r="C109" s="26"/>
      <c r="D109" s="67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</row>
    <row r="110" spans="1:23" ht="31.5">
      <c r="A110" s="87" t="s">
        <v>306</v>
      </c>
      <c r="B110" s="67"/>
      <c r="C110" s="26"/>
      <c r="D110" s="67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</row>
    <row r="111" spans="1:23" ht="15.75">
      <c r="A111" s="64" t="s">
        <v>309</v>
      </c>
      <c r="B111" s="64"/>
      <c r="C111" s="91"/>
      <c r="D111" s="64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</row>
    <row r="112" spans="1:23" ht="15.75">
      <c r="A112" s="82" t="s">
        <v>137</v>
      </c>
      <c r="B112" s="82"/>
      <c r="C112" s="2"/>
      <c r="D112" s="82"/>
      <c r="E112" s="25">
        <v>2</v>
      </c>
      <c r="F112" s="25">
        <v>2</v>
      </c>
      <c r="G112" s="25">
        <v>2</v>
      </c>
      <c r="H112" s="25">
        <v>2</v>
      </c>
      <c r="I112" s="25">
        <v>2</v>
      </c>
      <c r="J112" s="25">
        <v>2</v>
      </c>
      <c r="K112" s="25">
        <v>2</v>
      </c>
      <c r="L112" s="25">
        <v>2</v>
      </c>
      <c r="M112" s="25">
        <v>251</v>
      </c>
      <c r="N112" s="25">
        <v>2</v>
      </c>
      <c r="O112" s="25">
        <v>2</v>
      </c>
      <c r="P112" s="25">
        <v>2</v>
      </c>
      <c r="Q112" s="25">
        <v>2</v>
      </c>
      <c r="R112" s="102"/>
      <c r="S112" s="25">
        <v>2</v>
      </c>
      <c r="T112" s="25">
        <v>2</v>
      </c>
      <c r="U112" s="25">
        <v>2</v>
      </c>
      <c r="V112" s="25">
        <v>2</v>
      </c>
      <c r="W112" s="25">
        <v>2</v>
      </c>
    </row>
    <row r="113" spans="1:23" ht="15.75">
      <c r="A113" s="67" t="s">
        <v>300</v>
      </c>
      <c r="B113" s="82"/>
      <c r="C113" s="2"/>
      <c r="D113" s="82"/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255</v>
      </c>
      <c r="N113" s="25">
        <v>0</v>
      </c>
      <c r="O113" s="25">
        <v>0</v>
      </c>
      <c r="P113" s="25">
        <v>0</v>
      </c>
      <c r="Q113" s="25">
        <v>0</v>
      </c>
      <c r="R113" s="48"/>
      <c r="S113" s="25">
        <v>0</v>
      </c>
      <c r="T113" s="25">
        <v>0</v>
      </c>
      <c r="U113" s="25">
        <v>0</v>
      </c>
      <c r="V113" s="25">
        <v>0</v>
      </c>
      <c r="W113" s="25">
        <v>0</v>
      </c>
    </row>
    <row r="114" spans="1:23" ht="15.75">
      <c r="A114" s="67" t="s">
        <v>138</v>
      </c>
      <c r="B114" s="67"/>
      <c r="C114" s="2"/>
      <c r="D114" s="67"/>
      <c r="E114" s="25">
        <v>2</v>
      </c>
      <c r="F114" s="25">
        <v>2</v>
      </c>
      <c r="G114" s="25">
        <v>0</v>
      </c>
      <c r="H114" s="25">
        <v>2</v>
      </c>
      <c r="I114" s="25">
        <v>2</v>
      </c>
      <c r="J114" s="25">
        <v>0</v>
      </c>
      <c r="K114" s="25">
        <v>2</v>
      </c>
      <c r="L114" s="25">
        <v>2</v>
      </c>
      <c r="M114" s="25">
        <v>2</v>
      </c>
      <c r="N114" s="25">
        <v>2</v>
      </c>
      <c r="O114" s="25">
        <v>2</v>
      </c>
      <c r="P114" s="25">
        <v>2</v>
      </c>
      <c r="Q114" s="25">
        <v>2</v>
      </c>
      <c r="R114" s="48"/>
      <c r="S114" s="25">
        <v>2</v>
      </c>
      <c r="T114" s="25">
        <v>2</v>
      </c>
      <c r="U114" s="25">
        <v>2</v>
      </c>
      <c r="V114" s="25">
        <v>2</v>
      </c>
      <c r="W114" s="25">
        <v>2</v>
      </c>
    </row>
    <row r="115" spans="1:23" ht="15.75">
      <c r="A115" s="67" t="s">
        <v>139</v>
      </c>
      <c r="B115" s="67"/>
      <c r="C115" s="2"/>
      <c r="D115" s="67"/>
      <c r="E115" s="25" t="s">
        <v>140</v>
      </c>
      <c r="F115" s="25" t="s">
        <v>140</v>
      </c>
      <c r="G115" s="25" t="s">
        <v>102</v>
      </c>
      <c r="H115" s="25" t="s">
        <v>140</v>
      </c>
      <c r="I115" s="25" t="s">
        <v>140</v>
      </c>
      <c r="J115" s="25" t="s">
        <v>102</v>
      </c>
      <c r="K115" s="25" t="s">
        <v>140</v>
      </c>
      <c r="L115" s="25" t="s">
        <v>140</v>
      </c>
      <c r="M115" s="25" t="s">
        <v>140</v>
      </c>
      <c r="N115" s="25" t="s">
        <v>140</v>
      </c>
      <c r="O115" s="25" t="s">
        <v>140</v>
      </c>
      <c r="P115" s="25" t="s">
        <v>140</v>
      </c>
      <c r="Q115" s="25" t="s">
        <v>140</v>
      </c>
      <c r="R115" s="48"/>
      <c r="S115" s="25" t="s">
        <v>140</v>
      </c>
      <c r="T115" s="25" t="s">
        <v>140</v>
      </c>
      <c r="U115" s="25" t="s">
        <v>140</v>
      </c>
      <c r="V115" s="25" t="s">
        <v>140</v>
      </c>
      <c r="W115" s="25" t="s">
        <v>140</v>
      </c>
    </row>
    <row r="116" spans="1:23" ht="15.75">
      <c r="A116" s="67" t="s">
        <v>141</v>
      </c>
      <c r="B116" s="67"/>
      <c r="C116" s="30"/>
      <c r="D116" s="67"/>
      <c r="E116" s="83">
        <f>2/3</f>
        <v>0.6666666666666666</v>
      </c>
      <c r="F116" s="84">
        <f>5/6</f>
        <v>0.8333333333333334</v>
      </c>
      <c r="G116" s="84">
        <f>1/2</f>
        <v>0.5</v>
      </c>
      <c r="H116" s="84">
        <f>2/3</f>
        <v>0.6666666666666666</v>
      </c>
      <c r="I116" s="84">
        <f>2/3</f>
        <v>0.6666666666666666</v>
      </c>
      <c r="J116" s="84">
        <f>1/2</f>
        <v>0.5</v>
      </c>
      <c r="K116" s="84">
        <f>2/3</f>
        <v>0.6666666666666666</v>
      </c>
      <c r="L116" s="84">
        <f>2/3</f>
        <v>0.6666666666666666</v>
      </c>
      <c r="M116" s="84">
        <f>3/4</f>
        <v>0.75</v>
      </c>
      <c r="N116" s="84">
        <f>2/3</f>
        <v>0.6666666666666666</v>
      </c>
      <c r="O116" s="84">
        <f>2/3</f>
        <v>0.6666666666666666</v>
      </c>
      <c r="P116" s="84">
        <f>2/3</f>
        <v>0.6666666666666666</v>
      </c>
      <c r="Q116" s="84">
        <f>2/3</f>
        <v>0.6666666666666666</v>
      </c>
      <c r="R116" s="48"/>
      <c r="S116" s="84">
        <f>2/3</f>
        <v>0.6666666666666666</v>
      </c>
      <c r="T116" s="84">
        <f>2/3</f>
        <v>0.6666666666666666</v>
      </c>
      <c r="U116" s="84">
        <f>2/3</f>
        <v>0.6666666666666666</v>
      </c>
      <c r="V116" s="84">
        <f>2/3</f>
        <v>0.6666666666666666</v>
      </c>
      <c r="W116" s="84">
        <f>2/3</f>
        <v>0.6666666666666666</v>
      </c>
    </row>
    <row r="117" spans="1:23" ht="15.75">
      <c r="A117" s="67" t="s">
        <v>147</v>
      </c>
      <c r="B117" s="67"/>
      <c r="C117" s="2"/>
      <c r="D117" s="67"/>
      <c r="E117" s="25">
        <v>64800</v>
      </c>
      <c r="F117" s="25">
        <v>64800</v>
      </c>
      <c r="G117" s="25">
        <v>16200</v>
      </c>
      <c r="H117" s="25">
        <v>64800</v>
      </c>
      <c r="I117" s="25">
        <v>64800</v>
      </c>
      <c r="J117" s="25">
        <v>16200</v>
      </c>
      <c r="K117" s="25">
        <v>64800</v>
      </c>
      <c r="L117" s="25">
        <v>64800</v>
      </c>
      <c r="M117" s="25">
        <v>64800</v>
      </c>
      <c r="N117" s="25">
        <v>64800</v>
      </c>
      <c r="O117" s="25">
        <v>64800</v>
      </c>
      <c r="P117" s="25">
        <v>64800</v>
      </c>
      <c r="Q117" s="25">
        <v>64800</v>
      </c>
      <c r="R117" s="48"/>
      <c r="S117" s="25">
        <v>64800</v>
      </c>
      <c r="T117" s="25">
        <v>64800</v>
      </c>
      <c r="U117" s="25">
        <v>64800</v>
      </c>
      <c r="V117" s="25">
        <v>64800</v>
      </c>
      <c r="W117" s="25">
        <v>64800</v>
      </c>
    </row>
    <row r="118" spans="1:23" ht="15.75">
      <c r="A118" s="67" t="s">
        <v>148</v>
      </c>
      <c r="B118" s="67"/>
      <c r="C118" s="2"/>
      <c r="D118" s="67"/>
      <c r="E118" s="25" t="s">
        <v>89</v>
      </c>
      <c r="F118" s="25" t="s">
        <v>89</v>
      </c>
      <c r="G118" s="25" t="s">
        <v>89</v>
      </c>
      <c r="H118" s="25" t="s">
        <v>89</v>
      </c>
      <c r="I118" s="25" t="s">
        <v>89</v>
      </c>
      <c r="J118" s="25" t="s">
        <v>89</v>
      </c>
      <c r="K118" s="25" t="s">
        <v>89</v>
      </c>
      <c r="L118" s="25" t="s">
        <v>89</v>
      </c>
      <c r="M118" s="25" t="s">
        <v>89</v>
      </c>
      <c r="N118" s="25" t="s">
        <v>89</v>
      </c>
      <c r="O118" s="25" t="s">
        <v>89</v>
      </c>
      <c r="P118" s="25" t="s">
        <v>89</v>
      </c>
      <c r="Q118" s="25" t="s">
        <v>89</v>
      </c>
      <c r="R118" s="48"/>
      <c r="S118" s="25" t="s">
        <v>89</v>
      </c>
      <c r="T118" s="25" t="s">
        <v>89</v>
      </c>
      <c r="U118" s="25" t="s">
        <v>89</v>
      </c>
      <c r="V118" s="25" t="s">
        <v>89</v>
      </c>
      <c r="W118" s="25" t="s">
        <v>89</v>
      </c>
    </row>
    <row r="119" spans="1:23" ht="15.75">
      <c r="A119" s="67" t="s">
        <v>149</v>
      </c>
      <c r="B119" s="67"/>
      <c r="C119" s="2"/>
      <c r="D119" s="67"/>
      <c r="E119" s="25" t="s">
        <v>301</v>
      </c>
      <c r="F119" s="25" t="s">
        <v>301</v>
      </c>
      <c r="G119" s="25">
        <v>9</v>
      </c>
      <c r="H119" s="25" t="s">
        <v>301</v>
      </c>
      <c r="I119" s="25" t="s">
        <v>301</v>
      </c>
      <c r="J119" s="25">
        <v>9</v>
      </c>
      <c r="K119" s="25" t="s">
        <v>301</v>
      </c>
      <c r="L119" s="25" t="s">
        <v>301</v>
      </c>
      <c r="M119" s="25" t="s">
        <v>301</v>
      </c>
      <c r="N119" s="25" t="s">
        <v>301</v>
      </c>
      <c r="O119" s="25" t="s">
        <v>301</v>
      </c>
      <c r="P119" s="25" t="s">
        <v>301</v>
      </c>
      <c r="Q119" s="25" t="s">
        <v>301</v>
      </c>
      <c r="R119" s="2"/>
      <c r="S119" s="25" t="s">
        <v>301</v>
      </c>
      <c r="T119" s="25" t="s">
        <v>301</v>
      </c>
      <c r="U119" s="25" t="s">
        <v>301</v>
      </c>
      <c r="V119" s="25" t="s">
        <v>301</v>
      </c>
      <c r="W119" s="25" t="s">
        <v>301</v>
      </c>
    </row>
    <row r="120" spans="1:23" ht="15.75">
      <c r="A120" s="67" t="s">
        <v>151</v>
      </c>
      <c r="B120" s="67"/>
      <c r="C120" s="2"/>
      <c r="D120" s="67"/>
      <c r="E120" s="25">
        <v>57</v>
      </c>
      <c r="F120" s="25">
        <v>53</v>
      </c>
      <c r="G120" s="25">
        <v>9</v>
      </c>
      <c r="H120" s="25">
        <v>50</v>
      </c>
      <c r="I120" s="25">
        <v>57</v>
      </c>
      <c r="J120" s="25">
        <v>9</v>
      </c>
      <c r="K120" s="25">
        <v>50</v>
      </c>
      <c r="L120" s="25">
        <v>50</v>
      </c>
      <c r="M120" s="25">
        <v>13</v>
      </c>
      <c r="N120" s="25">
        <v>50</v>
      </c>
      <c r="O120" s="25">
        <v>50</v>
      </c>
      <c r="P120" s="25">
        <v>50</v>
      </c>
      <c r="Q120" s="25">
        <v>57</v>
      </c>
      <c r="R120" s="2"/>
      <c r="S120" s="25">
        <v>50</v>
      </c>
      <c r="T120" s="25">
        <v>50</v>
      </c>
      <c r="U120" s="25">
        <v>50</v>
      </c>
      <c r="V120" s="25">
        <v>50</v>
      </c>
      <c r="W120" s="25">
        <v>50</v>
      </c>
    </row>
    <row r="121" spans="1:23" ht="15.75">
      <c r="A121" s="67" t="s">
        <v>153</v>
      </c>
      <c r="B121" s="67"/>
      <c r="C121" s="2"/>
      <c r="D121" s="67"/>
      <c r="E121" s="25">
        <v>1</v>
      </c>
      <c r="F121" s="25">
        <v>1</v>
      </c>
      <c r="G121" s="25">
        <v>1</v>
      </c>
      <c r="H121" s="25">
        <v>1</v>
      </c>
      <c r="I121" s="25">
        <v>1</v>
      </c>
      <c r="J121" s="25">
        <v>1</v>
      </c>
      <c r="K121" s="25">
        <v>1</v>
      </c>
      <c r="L121" s="25">
        <v>1</v>
      </c>
      <c r="M121" s="25">
        <v>1</v>
      </c>
      <c r="N121" s="25">
        <v>1</v>
      </c>
      <c r="O121" s="25">
        <v>1</v>
      </c>
      <c r="P121" s="25">
        <v>1</v>
      </c>
      <c r="Q121" s="25">
        <v>1</v>
      </c>
      <c r="R121" s="2"/>
      <c r="S121" s="25">
        <v>1</v>
      </c>
      <c r="T121" s="25">
        <v>1</v>
      </c>
      <c r="U121" s="25">
        <v>1</v>
      </c>
      <c r="V121" s="25">
        <v>1</v>
      </c>
      <c r="W121" s="25">
        <v>1</v>
      </c>
    </row>
    <row r="122" spans="1:23" ht="15.75">
      <c r="A122" s="67" t="s">
        <v>155</v>
      </c>
      <c r="B122" s="67"/>
      <c r="C122" s="2"/>
      <c r="D122" s="67"/>
      <c r="E122" s="25">
        <v>1</v>
      </c>
      <c r="F122" s="25">
        <v>1</v>
      </c>
      <c r="G122" s="25">
        <v>1</v>
      </c>
      <c r="H122" s="25">
        <v>1</v>
      </c>
      <c r="I122" s="25">
        <v>1</v>
      </c>
      <c r="J122" s="25">
        <v>1</v>
      </c>
      <c r="K122" s="25">
        <v>1</v>
      </c>
      <c r="L122" s="25">
        <v>1</v>
      </c>
      <c r="M122" s="25">
        <v>1</v>
      </c>
      <c r="N122" s="25">
        <v>1</v>
      </c>
      <c r="O122" s="25">
        <v>1</v>
      </c>
      <c r="P122" s="25">
        <v>1</v>
      </c>
      <c r="Q122" s="25">
        <v>1</v>
      </c>
      <c r="R122" s="2"/>
      <c r="S122" s="25">
        <v>1</v>
      </c>
      <c r="T122" s="25">
        <v>1</v>
      </c>
      <c r="U122" s="25">
        <v>1</v>
      </c>
      <c r="V122" s="25">
        <v>1</v>
      </c>
      <c r="W122" s="25">
        <v>1</v>
      </c>
    </row>
    <row r="123" spans="1:23" ht="15.75">
      <c r="A123" s="67" t="s">
        <v>156</v>
      </c>
      <c r="B123" s="67"/>
      <c r="C123" s="2"/>
      <c r="D123" s="67"/>
      <c r="E123" s="25">
        <v>1</v>
      </c>
      <c r="F123" s="25">
        <v>1</v>
      </c>
      <c r="G123" s="25">
        <v>1</v>
      </c>
      <c r="H123" s="25">
        <v>1</v>
      </c>
      <c r="I123" s="25">
        <v>1</v>
      </c>
      <c r="J123" s="25">
        <v>1</v>
      </c>
      <c r="K123" s="25">
        <v>1</v>
      </c>
      <c r="L123" s="25">
        <v>1</v>
      </c>
      <c r="M123" s="25">
        <v>1</v>
      </c>
      <c r="N123" s="25">
        <v>1</v>
      </c>
      <c r="O123" s="25">
        <v>1</v>
      </c>
      <c r="P123" s="25">
        <v>1</v>
      </c>
      <c r="Q123" s="25">
        <v>1</v>
      </c>
      <c r="R123" s="2"/>
      <c r="S123" s="25">
        <v>1</v>
      </c>
      <c r="T123" s="25">
        <v>1</v>
      </c>
      <c r="U123" s="25">
        <v>1</v>
      </c>
      <c r="V123" s="25">
        <v>1</v>
      </c>
      <c r="W123" s="25">
        <v>1</v>
      </c>
    </row>
    <row r="124" spans="1:23" ht="15.75">
      <c r="A124" s="67" t="s">
        <v>302</v>
      </c>
      <c r="B124" s="67"/>
      <c r="C124" s="2"/>
      <c r="D124" s="67"/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25">
        <v>0</v>
      </c>
      <c r="Q124" s="25">
        <v>0</v>
      </c>
      <c r="R124" s="2"/>
      <c r="S124" s="25">
        <v>0</v>
      </c>
      <c r="T124" s="25">
        <v>0</v>
      </c>
      <c r="U124" s="25">
        <v>0</v>
      </c>
      <c r="V124" s="25">
        <v>0</v>
      </c>
      <c r="W124" s="25">
        <v>0</v>
      </c>
    </row>
    <row r="125" spans="1:23" ht="15.75">
      <c r="A125" s="85" t="s">
        <v>159</v>
      </c>
      <c r="B125" s="64"/>
      <c r="C125" s="91"/>
      <c r="D125" s="64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91"/>
      <c r="S125" s="66"/>
      <c r="T125" s="66"/>
      <c r="U125" s="66"/>
      <c r="V125" s="66"/>
      <c r="W125" s="66"/>
    </row>
    <row r="126" spans="1:23" ht="15.75">
      <c r="A126" s="67" t="s">
        <v>160</v>
      </c>
      <c r="B126" s="67"/>
      <c r="C126" s="2"/>
      <c r="D126" s="67"/>
      <c r="E126" s="25" t="s">
        <v>161</v>
      </c>
      <c r="F126" s="25" t="s">
        <v>161</v>
      </c>
      <c r="G126" s="25" t="s">
        <v>161</v>
      </c>
      <c r="H126" s="25" t="s">
        <v>161</v>
      </c>
      <c r="I126" s="25" t="s">
        <v>161</v>
      </c>
      <c r="J126" s="25" t="s">
        <v>161</v>
      </c>
      <c r="K126" s="25" t="s">
        <v>161</v>
      </c>
      <c r="L126" s="25" t="s">
        <v>161</v>
      </c>
      <c r="M126" s="25" t="s">
        <v>161</v>
      </c>
      <c r="N126" s="25" t="s">
        <v>161</v>
      </c>
      <c r="O126" s="25" t="s">
        <v>161</v>
      </c>
      <c r="P126" s="25" t="s">
        <v>161</v>
      </c>
      <c r="Q126" s="25" t="s">
        <v>161</v>
      </c>
      <c r="R126" s="2"/>
      <c r="S126" s="25" t="s">
        <v>161</v>
      </c>
      <c r="T126" s="25" t="s">
        <v>161</v>
      </c>
      <c r="U126" s="25" t="s">
        <v>161</v>
      </c>
      <c r="V126" s="25" t="s">
        <v>161</v>
      </c>
      <c r="W126" s="25" t="s">
        <v>163</v>
      </c>
    </row>
    <row r="127" spans="1:23" ht="15.75">
      <c r="A127" s="67" t="s">
        <v>164</v>
      </c>
      <c r="B127" s="67"/>
      <c r="C127" s="2"/>
      <c r="D127" s="67"/>
      <c r="E127" s="25" t="s">
        <v>89</v>
      </c>
      <c r="F127" s="25" t="s">
        <v>89</v>
      </c>
      <c r="G127" s="25" t="s">
        <v>89</v>
      </c>
      <c r="H127" s="25" t="s">
        <v>89</v>
      </c>
      <c r="I127" s="25" t="s">
        <v>89</v>
      </c>
      <c r="J127" s="25" t="s">
        <v>89</v>
      </c>
      <c r="K127" s="25" t="s">
        <v>89</v>
      </c>
      <c r="L127" s="25" t="s">
        <v>89</v>
      </c>
      <c r="M127" s="25" t="s">
        <v>89</v>
      </c>
      <c r="N127" s="25" t="s">
        <v>89</v>
      </c>
      <c r="O127" s="25" t="s">
        <v>89</v>
      </c>
      <c r="P127" s="25" t="s">
        <v>89</v>
      </c>
      <c r="Q127" s="25" t="s">
        <v>89</v>
      </c>
      <c r="R127" s="2"/>
      <c r="S127" s="25" t="s">
        <v>89</v>
      </c>
      <c r="T127" s="25" t="s">
        <v>89</v>
      </c>
      <c r="U127" s="25" t="s">
        <v>89</v>
      </c>
      <c r="V127" s="25" t="s">
        <v>89</v>
      </c>
      <c r="W127" s="25" t="s">
        <v>89</v>
      </c>
    </row>
    <row r="128" spans="1:23" ht="15.75">
      <c r="A128" s="67" t="s">
        <v>166</v>
      </c>
      <c r="B128" s="67"/>
      <c r="C128" s="2"/>
      <c r="D128" s="67"/>
      <c r="E128" s="25">
        <f>E103</f>
        <v>1671168</v>
      </c>
      <c r="F128" s="25">
        <f>F103</f>
        <v>1671168</v>
      </c>
      <c r="G128" s="25">
        <f>128*8192</f>
        <v>1048576</v>
      </c>
      <c r="H128" s="25">
        <f aca="true" t="shared" si="8" ref="H128:Q128">H103</f>
        <v>1753088</v>
      </c>
      <c r="I128" s="25">
        <f t="shared" si="8"/>
        <v>1671168</v>
      </c>
      <c r="J128" s="25">
        <f t="shared" si="8"/>
        <v>1048576</v>
      </c>
      <c r="K128" s="25">
        <f t="shared" si="8"/>
        <v>1753088</v>
      </c>
      <c r="L128" s="25">
        <f t="shared" si="8"/>
        <v>1753088</v>
      </c>
      <c r="M128" s="25">
        <f t="shared" si="8"/>
        <v>1048576</v>
      </c>
      <c r="N128" s="25">
        <f t="shared" si="8"/>
        <v>1753088</v>
      </c>
      <c r="O128" s="25">
        <f t="shared" si="8"/>
        <v>1769472</v>
      </c>
      <c r="P128" s="25">
        <f t="shared" si="8"/>
        <v>1769472</v>
      </c>
      <c r="Q128" s="25">
        <f t="shared" si="8"/>
        <v>1671168</v>
      </c>
      <c r="R128" s="2"/>
      <c r="S128" s="25">
        <f>S103</f>
        <v>1769472</v>
      </c>
      <c r="T128" s="25">
        <f>T103</f>
        <v>1769472</v>
      </c>
      <c r="U128" s="25">
        <f>U103</f>
        <v>1753088</v>
      </c>
      <c r="V128" s="25">
        <f>V103</f>
        <v>1769472</v>
      </c>
      <c r="W128" s="25">
        <f>W103</f>
        <v>1769472</v>
      </c>
    </row>
    <row r="129" spans="1:23" ht="15.75">
      <c r="A129" s="67"/>
      <c r="B129" s="67"/>
      <c r="C129" s="100"/>
      <c r="D129" s="67"/>
      <c r="L129" s="25"/>
      <c r="M129" s="25"/>
      <c r="N129" s="25"/>
      <c r="P129" s="25"/>
      <c r="R129" s="100"/>
      <c r="S129" s="25"/>
      <c r="T129" s="25"/>
      <c r="U129" s="25"/>
      <c r="V129" s="25"/>
      <c r="W129" s="25"/>
    </row>
    <row r="130" spans="1:23" ht="15.75">
      <c r="A130" s="67" t="s">
        <v>167</v>
      </c>
      <c r="B130" s="67"/>
      <c r="C130" s="2"/>
      <c r="D130" s="67"/>
      <c r="E130" s="25">
        <f aca="true" t="shared" si="9" ref="E130:Q130">E105</f>
        <v>939080</v>
      </c>
      <c r="F130" s="25">
        <f t="shared" si="9"/>
        <v>937766</v>
      </c>
      <c r="G130" s="25">
        <f t="shared" si="9"/>
        <v>952697</v>
      </c>
      <c r="H130" s="25">
        <f t="shared" si="9"/>
        <v>948250</v>
      </c>
      <c r="I130" s="25">
        <f t="shared" si="9"/>
        <v>939058</v>
      </c>
      <c r="J130" s="25">
        <f t="shared" si="9"/>
        <v>947708</v>
      </c>
      <c r="K130" s="25">
        <f t="shared" si="9"/>
        <v>948250</v>
      </c>
      <c r="L130" s="25">
        <f t="shared" si="9"/>
        <v>950899</v>
      </c>
      <c r="M130" s="25">
        <f t="shared" si="9"/>
        <v>955416</v>
      </c>
      <c r="N130" s="25">
        <f t="shared" si="9"/>
        <v>947375</v>
      </c>
      <c r="O130" s="25">
        <f t="shared" si="9"/>
        <v>951412</v>
      </c>
      <c r="P130" s="25">
        <f t="shared" si="9"/>
        <v>949985</v>
      </c>
      <c r="Q130" s="25">
        <f t="shared" si="9"/>
        <v>939294</v>
      </c>
      <c r="R130" s="2"/>
      <c r="S130" s="25">
        <f>S105</f>
        <v>946622</v>
      </c>
      <c r="T130" s="25">
        <f>T105</f>
        <v>946622</v>
      </c>
      <c r="U130" s="25">
        <f>U105</f>
        <v>946700</v>
      </c>
      <c r="V130" s="25">
        <f>V105</f>
        <v>988795</v>
      </c>
      <c r="W130" s="25">
        <f>W105</f>
        <v>938619</v>
      </c>
    </row>
    <row r="131" spans="1:23" ht="15.75">
      <c r="A131" s="87" t="s">
        <v>84</v>
      </c>
      <c r="B131" s="67"/>
      <c r="C131" s="24"/>
      <c r="D131" s="67"/>
      <c r="E131" s="81" t="s">
        <v>89</v>
      </c>
      <c r="F131" s="25" t="s">
        <v>89</v>
      </c>
      <c r="G131" s="25" t="s">
        <v>89</v>
      </c>
      <c r="H131" s="25" t="s">
        <v>89</v>
      </c>
      <c r="I131" s="25" t="s">
        <v>89</v>
      </c>
      <c r="J131" s="25" t="s">
        <v>89</v>
      </c>
      <c r="K131" s="25" t="s">
        <v>89</v>
      </c>
      <c r="L131" s="25" t="s">
        <v>89</v>
      </c>
      <c r="M131" s="25" t="s">
        <v>89</v>
      </c>
      <c r="N131" s="25" t="s">
        <v>89</v>
      </c>
      <c r="O131" s="25" t="s">
        <v>89</v>
      </c>
      <c r="P131" s="25" t="s">
        <v>89</v>
      </c>
      <c r="Q131" s="25" t="s">
        <v>89</v>
      </c>
      <c r="R131" s="2"/>
      <c r="S131" s="25" t="s">
        <v>89</v>
      </c>
      <c r="T131" s="25" t="s">
        <v>89</v>
      </c>
      <c r="U131" s="25" t="s">
        <v>89</v>
      </c>
      <c r="V131" s="25" t="s">
        <v>89</v>
      </c>
      <c r="W131" s="25" t="s">
        <v>89</v>
      </c>
    </row>
    <row r="132" spans="1:23" ht="15.75">
      <c r="A132" s="87" t="s">
        <v>169</v>
      </c>
      <c r="B132" s="67"/>
      <c r="C132" s="88"/>
      <c r="D132" s="67"/>
      <c r="E132" s="88" t="s">
        <v>303</v>
      </c>
      <c r="F132" s="88" t="s">
        <v>303</v>
      </c>
      <c r="G132" s="88" t="s">
        <v>303</v>
      </c>
      <c r="H132" s="88" t="s">
        <v>303</v>
      </c>
      <c r="I132" s="88" t="s">
        <v>303</v>
      </c>
      <c r="J132" s="88" t="s">
        <v>303</v>
      </c>
      <c r="K132" s="88" t="s">
        <v>303</v>
      </c>
      <c r="L132" s="88" t="s">
        <v>303</v>
      </c>
      <c r="M132" s="88" t="s">
        <v>303</v>
      </c>
      <c r="N132" s="88" t="s">
        <v>303</v>
      </c>
      <c r="O132" s="88" t="s">
        <v>303</v>
      </c>
      <c r="P132" s="88" t="s">
        <v>303</v>
      </c>
      <c r="Q132" s="88" t="s">
        <v>304</v>
      </c>
      <c r="R132" s="48"/>
      <c r="S132" s="88" t="s">
        <v>303</v>
      </c>
      <c r="T132" s="88" t="s">
        <v>303</v>
      </c>
      <c r="U132" s="88" t="s">
        <v>303</v>
      </c>
      <c r="V132" s="88" t="s">
        <v>303</v>
      </c>
      <c r="W132" s="88" t="s">
        <v>303</v>
      </c>
    </row>
    <row r="133" spans="1:23" ht="31.5">
      <c r="A133" s="87" t="s">
        <v>171</v>
      </c>
      <c r="B133" s="67"/>
      <c r="C133" s="24"/>
      <c r="D133" s="67"/>
      <c r="E133" s="88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  <c r="P133" s="25">
        <v>0</v>
      </c>
      <c r="Q133" s="25">
        <v>0</v>
      </c>
      <c r="R133" s="2"/>
      <c r="S133" s="25">
        <v>0</v>
      </c>
      <c r="T133" s="25">
        <v>0</v>
      </c>
      <c r="U133" s="25">
        <v>0</v>
      </c>
      <c r="V133" s="25">
        <v>0</v>
      </c>
      <c r="W133" s="25">
        <v>0</v>
      </c>
    </row>
    <row r="134" spans="1:23" ht="31.5">
      <c r="A134" s="87" t="s">
        <v>305</v>
      </c>
      <c r="B134" s="67"/>
      <c r="C134" s="26"/>
      <c r="D134" s="67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26"/>
      <c r="S134" s="76"/>
      <c r="T134" s="76"/>
      <c r="U134" s="76"/>
      <c r="V134" s="76"/>
      <c r="W134" s="76"/>
    </row>
    <row r="135" spans="1:23" ht="31.5">
      <c r="A135" s="87" t="s">
        <v>306</v>
      </c>
      <c r="B135" s="67"/>
      <c r="C135" s="26"/>
      <c r="D135" s="67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26"/>
      <c r="S135" s="76"/>
      <c r="T135" s="76"/>
      <c r="U135" s="76"/>
      <c r="V135" s="76"/>
      <c r="W135" s="76"/>
    </row>
    <row r="136" spans="1:23" ht="15.75">
      <c r="A136" s="64" t="s">
        <v>310</v>
      </c>
      <c r="B136" s="64"/>
      <c r="C136" s="91"/>
      <c r="D136" s="64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91"/>
      <c r="S136" s="66"/>
      <c r="T136" s="66"/>
      <c r="U136" s="66"/>
      <c r="V136" s="66"/>
      <c r="W136" s="66"/>
    </row>
    <row r="137" spans="1:23" ht="15.75">
      <c r="A137" s="82" t="s">
        <v>137</v>
      </c>
      <c r="B137" s="82"/>
      <c r="C137" s="2"/>
      <c r="D137" s="82"/>
      <c r="E137" s="25">
        <v>3</v>
      </c>
      <c r="F137" s="25">
        <v>3</v>
      </c>
      <c r="H137" s="25">
        <v>3</v>
      </c>
      <c r="I137" s="25">
        <v>3</v>
      </c>
      <c r="K137" s="25">
        <v>3</v>
      </c>
      <c r="L137" s="25">
        <v>3</v>
      </c>
      <c r="M137" s="25">
        <v>252</v>
      </c>
      <c r="N137" s="25">
        <v>3</v>
      </c>
      <c r="O137" s="25">
        <v>3</v>
      </c>
      <c r="P137" s="25">
        <v>3</v>
      </c>
      <c r="Q137" s="25">
        <v>3</v>
      </c>
      <c r="R137" s="2"/>
      <c r="S137" s="25">
        <v>3</v>
      </c>
      <c r="T137" s="25">
        <v>3</v>
      </c>
      <c r="U137" s="25">
        <v>3</v>
      </c>
      <c r="V137" s="25">
        <v>3</v>
      </c>
      <c r="W137" s="25">
        <v>3</v>
      </c>
    </row>
    <row r="138" spans="1:23" ht="15.75">
      <c r="A138" s="67" t="s">
        <v>300</v>
      </c>
      <c r="B138" s="82"/>
      <c r="C138" s="2"/>
      <c r="D138" s="82"/>
      <c r="E138" s="25">
        <v>0</v>
      </c>
      <c r="F138" s="25">
        <v>0</v>
      </c>
      <c r="H138" s="25">
        <v>0</v>
      </c>
      <c r="I138" s="25">
        <v>0</v>
      </c>
      <c r="K138" s="25">
        <v>0</v>
      </c>
      <c r="L138" s="25">
        <v>0</v>
      </c>
      <c r="M138" s="25">
        <v>255</v>
      </c>
      <c r="N138" s="25">
        <v>0</v>
      </c>
      <c r="O138" s="25">
        <v>0</v>
      </c>
      <c r="P138" s="25">
        <v>0</v>
      </c>
      <c r="Q138" s="25">
        <v>0</v>
      </c>
      <c r="R138" s="2"/>
      <c r="S138" s="25">
        <v>0</v>
      </c>
      <c r="T138" s="25">
        <v>0</v>
      </c>
      <c r="U138" s="25">
        <v>0</v>
      </c>
      <c r="V138" s="25">
        <v>0</v>
      </c>
      <c r="W138" s="25">
        <v>0</v>
      </c>
    </row>
    <row r="139" spans="1:23" ht="15.75">
      <c r="A139" s="67" t="s">
        <v>138</v>
      </c>
      <c r="B139" s="67"/>
      <c r="C139" s="2"/>
      <c r="D139" s="67"/>
      <c r="E139" s="25">
        <v>2</v>
      </c>
      <c r="F139" s="25">
        <v>2</v>
      </c>
      <c r="H139" s="25">
        <v>0</v>
      </c>
      <c r="I139" s="25">
        <v>2</v>
      </c>
      <c r="K139" s="25">
        <v>0</v>
      </c>
      <c r="L139" s="25">
        <v>0</v>
      </c>
      <c r="M139" s="25">
        <v>2</v>
      </c>
      <c r="N139" s="25">
        <v>0</v>
      </c>
      <c r="O139" s="25">
        <v>0</v>
      </c>
      <c r="P139" s="25">
        <v>0</v>
      </c>
      <c r="Q139" s="25">
        <v>2</v>
      </c>
      <c r="R139" s="2"/>
      <c r="S139" s="25">
        <v>0</v>
      </c>
      <c r="T139" s="25">
        <v>0</v>
      </c>
      <c r="U139" s="25">
        <v>0</v>
      </c>
      <c r="V139" s="25">
        <v>0</v>
      </c>
      <c r="W139" s="25">
        <v>0</v>
      </c>
    </row>
    <row r="140" spans="1:23" ht="15.75">
      <c r="A140" s="67" t="s">
        <v>139</v>
      </c>
      <c r="B140" s="67"/>
      <c r="C140" s="2"/>
      <c r="D140" s="67"/>
      <c r="E140" s="25" t="s">
        <v>140</v>
      </c>
      <c r="F140" s="25" t="s">
        <v>140</v>
      </c>
      <c r="H140" s="25" t="s">
        <v>140</v>
      </c>
      <c r="I140" s="25" t="s">
        <v>140</v>
      </c>
      <c r="K140" s="25" t="s">
        <v>140</v>
      </c>
      <c r="L140" s="25" t="s">
        <v>140</v>
      </c>
      <c r="M140" s="25" t="s">
        <v>140</v>
      </c>
      <c r="N140" s="25" t="s">
        <v>140</v>
      </c>
      <c r="O140" s="25" t="s">
        <v>140</v>
      </c>
      <c r="P140" s="25" t="s">
        <v>140</v>
      </c>
      <c r="Q140" s="25" t="s">
        <v>140</v>
      </c>
      <c r="R140" s="2"/>
      <c r="S140" s="25" t="s">
        <v>140</v>
      </c>
      <c r="T140" s="25" t="s">
        <v>140</v>
      </c>
      <c r="U140" s="25" t="s">
        <v>140</v>
      </c>
      <c r="V140" s="25" t="s">
        <v>140</v>
      </c>
      <c r="W140" s="25" t="s">
        <v>140</v>
      </c>
    </row>
    <row r="141" spans="1:23" ht="15.75">
      <c r="A141" s="67" t="s">
        <v>141</v>
      </c>
      <c r="B141" s="67"/>
      <c r="C141" s="30"/>
      <c r="D141" s="67"/>
      <c r="E141" s="83">
        <f>2/3</f>
        <v>0.6666666666666666</v>
      </c>
      <c r="F141" s="84">
        <f>5/6</f>
        <v>0.8333333333333334</v>
      </c>
      <c r="G141" s="84"/>
      <c r="H141" s="84">
        <f>2/3</f>
        <v>0.6666666666666666</v>
      </c>
      <c r="I141" s="84">
        <f>2/3</f>
        <v>0.6666666666666666</v>
      </c>
      <c r="J141" s="84"/>
      <c r="K141" s="84">
        <f>2/3</f>
        <v>0.6666666666666666</v>
      </c>
      <c r="L141" s="84">
        <f>2/3</f>
        <v>0.6666666666666666</v>
      </c>
      <c r="M141" s="84">
        <f>3/4</f>
        <v>0.75</v>
      </c>
      <c r="N141" s="84">
        <f>2/3</f>
        <v>0.6666666666666666</v>
      </c>
      <c r="O141" s="84">
        <f>2/3</f>
        <v>0.6666666666666666</v>
      </c>
      <c r="P141" s="84">
        <f>2/3</f>
        <v>0.6666666666666666</v>
      </c>
      <c r="Q141" s="84">
        <f>2/3</f>
        <v>0.6666666666666666</v>
      </c>
      <c r="R141" s="99"/>
      <c r="S141" s="84">
        <f>2/3</f>
        <v>0.6666666666666666</v>
      </c>
      <c r="T141" s="84">
        <f>2/3</f>
        <v>0.6666666666666666</v>
      </c>
      <c r="U141" s="84">
        <f>2/3</f>
        <v>0.6666666666666666</v>
      </c>
      <c r="V141" s="84">
        <f>2/3</f>
        <v>0.6666666666666666</v>
      </c>
      <c r="W141" s="84">
        <f>2/3</f>
        <v>0.6666666666666666</v>
      </c>
    </row>
    <row r="142" spans="1:23" ht="15.75">
      <c r="A142" s="67" t="s">
        <v>147</v>
      </c>
      <c r="B142" s="67"/>
      <c r="C142" s="2"/>
      <c r="D142" s="67"/>
      <c r="E142" s="25">
        <v>64800</v>
      </c>
      <c r="F142" s="25">
        <v>64800</v>
      </c>
      <c r="H142" s="25">
        <v>16200</v>
      </c>
      <c r="I142" s="25">
        <v>64800</v>
      </c>
      <c r="K142" s="25">
        <v>16200</v>
      </c>
      <c r="L142" s="25">
        <v>16200</v>
      </c>
      <c r="M142" s="25">
        <v>64800</v>
      </c>
      <c r="N142" s="25">
        <v>16200</v>
      </c>
      <c r="O142" s="25">
        <v>16200</v>
      </c>
      <c r="P142" s="25">
        <v>16200</v>
      </c>
      <c r="Q142" s="25">
        <v>64800</v>
      </c>
      <c r="R142" s="2"/>
      <c r="S142" s="25">
        <v>16200</v>
      </c>
      <c r="T142" s="25">
        <v>16200</v>
      </c>
      <c r="U142" s="25">
        <v>16200</v>
      </c>
      <c r="V142" s="25">
        <v>16200</v>
      </c>
      <c r="W142" s="25">
        <v>16200</v>
      </c>
    </row>
    <row r="143" spans="1:23" ht="15.75">
      <c r="A143" s="67" t="s">
        <v>148</v>
      </c>
      <c r="B143" s="67"/>
      <c r="C143" s="2"/>
      <c r="D143" s="67"/>
      <c r="E143" s="25" t="s">
        <v>89</v>
      </c>
      <c r="F143" s="25" t="s">
        <v>89</v>
      </c>
      <c r="H143" s="25" t="s">
        <v>89</v>
      </c>
      <c r="I143" s="25" t="s">
        <v>89</v>
      </c>
      <c r="K143" s="25" t="s">
        <v>89</v>
      </c>
      <c r="L143" s="25" t="s">
        <v>89</v>
      </c>
      <c r="M143" s="25" t="s">
        <v>89</v>
      </c>
      <c r="N143" s="25" t="s">
        <v>89</v>
      </c>
      <c r="O143" s="25" t="s">
        <v>89</v>
      </c>
      <c r="P143" s="25" t="s">
        <v>89</v>
      </c>
      <c r="Q143" s="25" t="s">
        <v>89</v>
      </c>
      <c r="R143" s="2"/>
      <c r="S143" s="25" t="s">
        <v>89</v>
      </c>
      <c r="T143" s="25" t="s">
        <v>89</v>
      </c>
      <c r="U143" s="25" t="s">
        <v>89</v>
      </c>
      <c r="V143" s="25" t="s">
        <v>89</v>
      </c>
      <c r="W143" s="25" t="s">
        <v>89</v>
      </c>
    </row>
    <row r="144" spans="1:23" ht="15.75">
      <c r="A144" s="67" t="s">
        <v>149</v>
      </c>
      <c r="B144" s="67"/>
      <c r="C144" s="2"/>
      <c r="D144" s="67"/>
      <c r="E144" s="25" t="s">
        <v>301</v>
      </c>
      <c r="F144" s="25" t="s">
        <v>301</v>
      </c>
      <c r="H144" s="25">
        <v>20</v>
      </c>
      <c r="I144" s="25" t="s">
        <v>301</v>
      </c>
      <c r="K144" s="25">
        <v>20</v>
      </c>
      <c r="L144" s="25">
        <v>20</v>
      </c>
      <c r="M144" s="25" t="s">
        <v>301</v>
      </c>
      <c r="N144" s="25">
        <v>20</v>
      </c>
      <c r="O144" s="25">
        <v>20</v>
      </c>
      <c r="P144" s="25">
        <v>20</v>
      </c>
      <c r="Q144" s="25" t="s">
        <v>301</v>
      </c>
      <c r="R144" s="2"/>
      <c r="S144" s="25">
        <v>20</v>
      </c>
      <c r="T144" s="25">
        <v>20</v>
      </c>
      <c r="U144" s="25">
        <v>20</v>
      </c>
      <c r="V144" s="25">
        <v>20</v>
      </c>
      <c r="W144" s="25">
        <v>20</v>
      </c>
    </row>
    <row r="145" spans="1:23" ht="15.75">
      <c r="A145" s="67" t="s">
        <v>151</v>
      </c>
      <c r="B145" s="67"/>
      <c r="C145" s="2"/>
      <c r="D145" s="67"/>
      <c r="E145" s="25">
        <v>57</v>
      </c>
      <c r="F145" s="25">
        <v>53</v>
      </c>
      <c r="H145" s="25">
        <v>20</v>
      </c>
      <c r="I145" s="25">
        <v>57</v>
      </c>
      <c r="K145" s="25">
        <v>20</v>
      </c>
      <c r="L145" s="25">
        <v>20</v>
      </c>
      <c r="M145" s="25">
        <v>13</v>
      </c>
      <c r="N145" s="25">
        <v>20</v>
      </c>
      <c r="O145" s="25">
        <v>20</v>
      </c>
      <c r="P145" s="25">
        <v>20</v>
      </c>
      <c r="Q145" s="25">
        <v>57</v>
      </c>
      <c r="R145" s="2"/>
      <c r="S145" s="25">
        <v>20</v>
      </c>
      <c r="T145" s="25">
        <v>20</v>
      </c>
      <c r="U145" s="25">
        <v>20</v>
      </c>
      <c r="V145" s="25">
        <v>20</v>
      </c>
      <c r="W145" s="25">
        <v>20</v>
      </c>
    </row>
    <row r="146" spans="1:23" ht="15.75">
      <c r="A146" s="67" t="s">
        <v>153</v>
      </c>
      <c r="B146" s="67"/>
      <c r="C146" s="2"/>
      <c r="D146" s="67"/>
      <c r="E146" s="25">
        <v>1</v>
      </c>
      <c r="F146" s="25">
        <v>1</v>
      </c>
      <c r="H146" s="25">
        <v>1</v>
      </c>
      <c r="I146" s="25">
        <v>1</v>
      </c>
      <c r="K146" s="25">
        <v>1</v>
      </c>
      <c r="L146" s="25">
        <v>1</v>
      </c>
      <c r="M146" s="25">
        <v>1</v>
      </c>
      <c r="N146" s="25">
        <v>1</v>
      </c>
      <c r="O146" s="25">
        <v>1</v>
      </c>
      <c r="P146" s="25">
        <v>1</v>
      </c>
      <c r="Q146" s="25">
        <v>1</v>
      </c>
      <c r="R146" s="2"/>
      <c r="S146" s="25">
        <v>1</v>
      </c>
      <c r="T146" s="25">
        <v>1</v>
      </c>
      <c r="U146" s="25">
        <v>1</v>
      </c>
      <c r="V146" s="25">
        <v>1</v>
      </c>
      <c r="W146" s="25">
        <v>1</v>
      </c>
    </row>
    <row r="147" spans="1:23" ht="15.75">
      <c r="A147" s="67" t="s">
        <v>155</v>
      </c>
      <c r="B147" s="67"/>
      <c r="C147" s="2"/>
      <c r="D147" s="67"/>
      <c r="E147" s="25">
        <v>1</v>
      </c>
      <c r="F147" s="25">
        <v>1</v>
      </c>
      <c r="H147" s="25">
        <v>1</v>
      </c>
      <c r="I147" s="25">
        <v>1</v>
      </c>
      <c r="K147" s="25">
        <v>1</v>
      </c>
      <c r="L147" s="25">
        <v>1</v>
      </c>
      <c r="M147" s="25">
        <v>1</v>
      </c>
      <c r="N147" s="25">
        <v>1</v>
      </c>
      <c r="O147" s="25">
        <v>1</v>
      </c>
      <c r="P147" s="25">
        <v>1</v>
      </c>
      <c r="Q147" s="25">
        <v>1</v>
      </c>
      <c r="R147" s="2"/>
      <c r="S147" s="25">
        <v>1</v>
      </c>
      <c r="T147" s="25">
        <v>1</v>
      </c>
      <c r="U147" s="25">
        <v>1</v>
      </c>
      <c r="V147" s="25">
        <v>1</v>
      </c>
      <c r="W147" s="25">
        <v>1</v>
      </c>
    </row>
    <row r="148" spans="1:23" ht="15.75">
      <c r="A148" s="67" t="s">
        <v>156</v>
      </c>
      <c r="B148" s="67"/>
      <c r="C148" s="2"/>
      <c r="D148" s="67"/>
      <c r="E148" s="25">
        <v>1</v>
      </c>
      <c r="F148" s="25">
        <v>1</v>
      </c>
      <c r="H148" s="25">
        <v>1</v>
      </c>
      <c r="I148" s="25">
        <v>1</v>
      </c>
      <c r="K148" s="25">
        <v>1</v>
      </c>
      <c r="L148" s="25">
        <v>1</v>
      </c>
      <c r="M148" s="25">
        <v>1</v>
      </c>
      <c r="N148" s="25">
        <v>1</v>
      </c>
      <c r="O148" s="25">
        <v>1</v>
      </c>
      <c r="P148" s="25">
        <v>1</v>
      </c>
      <c r="Q148" s="25">
        <v>1</v>
      </c>
      <c r="R148" s="2"/>
      <c r="S148" s="25">
        <v>1</v>
      </c>
      <c r="T148" s="25">
        <v>1</v>
      </c>
      <c r="U148" s="25">
        <v>1</v>
      </c>
      <c r="V148" s="25">
        <v>1</v>
      </c>
      <c r="W148" s="25">
        <v>1</v>
      </c>
    </row>
    <row r="149" spans="1:23" ht="15.75">
      <c r="A149" s="67" t="s">
        <v>302</v>
      </c>
      <c r="B149" s="67"/>
      <c r="C149" s="2"/>
      <c r="D149" s="67"/>
      <c r="E149" s="25">
        <v>0</v>
      </c>
      <c r="F149" s="25">
        <v>0</v>
      </c>
      <c r="H149" s="25">
        <v>0</v>
      </c>
      <c r="I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"/>
      <c r="S149" s="25">
        <v>0</v>
      </c>
      <c r="T149" s="25">
        <v>0</v>
      </c>
      <c r="U149" s="25">
        <v>0</v>
      </c>
      <c r="V149" s="25">
        <v>0</v>
      </c>
      <c r="W149" s="25">
        <v>0</v>
      </c>
    </row>
    <row r="150" spans="1:23" ht="15.75">
      <c r="A150" s="85" t="s">
        <v>159</v>
      </c>
      <c r="B150" s="64"/>
      <c r="C150" s="91"/>
      <c r="D150" s="64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91"/>
      <c r="S150" s="66"/>
      <c r="T150" s="66"/>
      <c r="U150" s="66"/>
      <c r="V150" s="66"/>
      <c r="W150" s="66"/>
    </row>
    <row r="151" spans="1:23" ht="15.75">
      <c r="A151" s="67" t="s">
        <v>160</v>
      </c>
      <c r="B151" s="67"/>
      <c r="C151" s="2"/>
      <c r="D151" s="67"/>
      <c r="E151" s="25" t="s">
        <v>161</v>
      </c>
      <c r="F151" s="25" t="s">
        <v>161</v>
      </c>
      <c r="H151" s="25" t="s">
        <v>161</v>
      </c>
      <c r="I151" s="25" t="s">
        <v>161</v>
      </c>
      <c r="K151" s="25" t="s">
        <v>161</v>
      </c>
      <c r="L151" s="25" t="s">
        <v>161</v>
      </c>
      <c r="M151" s="25" t="s">
        <v>161</v>
      </c>
      <c r="N151" s="25" t="s">
        <v>161</v>
      </c>
      <c r="O151" s="25" t="s">
        <v>161</v>
      </c>
      <c r="P151" s="25" t="s">
        <v>161</v>
      </c>
      <c r="Q151" s="25" t="s">
        <v>161</v>
      </c>
      <c r="R151" s="2"/>
      <c r="S151" s="25" t="s">
        <v>161</v>
      </c>
      <c r="T151" s="25" t="s">
        <v>161</v>
      </c>
      <c r="U151" s="25" t="s">
        <v>161</v>
      </c>
      <c r="V151" s="25" t="s">
        <v>161</v>
      </c>
      <c r="W151" s="25" t="s">
        <v>163</v>
      </c>
    </row>
    <row r="152" spans="1:23" ht="15.75">
      <c r="A152" s="67" t="s">
        <v>164</v>
      </c>
      <c r="B152" s="67"/>
      <c r="C152" s="2"/>
      <c r="D152" s="67"/>
      <c r="E152" s="25" t="s">
        <v>89</v>
      </c>
      <c r="F152" s="25" t="s">
        <v>89</v>
      </c>
      <c r="H152" s="25" t="s">
        <v>89</v>
      </c>
      <c r="I152" s="25" t="s">
        <v>89</v>
      </c>
      <c r="K152" s="25" t="s">
        <v>89</v>
      </c>
      <c r="L152" s="25" t="s">
        <v>89</v>
      </c>
      <c r="M152" s="25" t="s">
        <v>89</v>
      </c>
      <c r="N152" s="25" t="s">
        <v>89</v>
      </c>
      <c r="O152" s="25" t="s">
        <v>89</v>
      </c>
      <c r="P152" s="25" t="s">
        <v>89</v>
      </c>
      <c r="Q152" s="25" t="s">
        <v>89</v>
      </c>
      <c r="R152" s="2"/>
      <c r="S152" s="25" t="s">
        <v>89</v>
      </c>
      <c r="T152" s="25" t="s">
        <v>89</v>
      </c>
      <c r="U152" s="25" t="s">
        <v>89</v>
      </c>
      <c r="V152" s="25" t="s">
        <v>89</v>
      </c>
      <c r="W152" s="25" t="s">
        <v>89</v>
      </c>
    </row>
    <row r="153" spans="1:23" ht="15.75">
      <c r="A153" s="67" t="s">
        <v>166</v>
      </c>
      <c r="B153" s="67"/>
      <c r="C153" s="2"/>
      <c r="D153" s="67"/>
      <c r="E153" s="25">
        <f>E128</f>
        <v>1671168</v>
      </c>
      <c r="F153" s="25">
        <f>F128</f>
        <v>1671168</v>
      </c>
      <c r="H153" s="25">
        <f>336*1024</f>
        <v>344064</v>
      </c>
      <c r="I153" s="25">
        <f>I128</f>
        <v>1671168</v>
      </c>
      <c r="K153" s="25">
        <f>336*1024</f>
        <v>344064</v>
      </c>
      <c r="L153" s="25">
        <f>336*1024</f>
        <v>344064</v>
      </c>
      <c r="M153" s="25">
        <f>M128</f>
        <v>1048576</v>
      </c>
      <c r="N153" s="25">
        <f>336*1024</f>
        <v>344064</v>
      </c>
      <c r="O153" s="25">
        <f>320*1024</f>
        <v>327680</v>
      </c>
      <c r="P153" s="25">
        <f>320*1024</f>
        <v>327680</v>
      </c>
      <c r="Q153" s="25">
        <f>Q128</f>
        <v>1671168</v>
      </c>
      <c r="R153" s="2"/>
      <c r="S153" s="25">
        <f>320*1024</f>
        <v>327680</v>
      </c>
      <c r="T153" s="25">
        <f>320*1024</f>
        <v>327680</v>
      </c>
      <c r="U153" s="25">
        <f>336*1024</f>
        <v>344064</v>
      </c>
      <c r="V153" s="25">
        <f>320*1024</f>
        <v>327680</v>
      </c>
      <c r="W153" s="25">
        <f>320*1024</f>
        <v>327680</v>
      </c>
    </row>
    <row r="154" spans="1:23" ht="15.75">
      <c r="A154" s="67"/>
      <c r="B154" s="67"/>
      <c r="C154" s="100"/>
      <c r="D154" s="67"/>
      <c r="L154" s="25"/>
      <c r="M154" s="25"/>
      <c r="N154" s="25"/>
      <c r="P154" s="25"/>
      <c r="R154" s="100"/>
      <c r="S154" s="25"/>
      <c r="T154" s="25"/>
      <c r="U154" s="25"/>
      <c r="V154" s="25"/>
      <c r="W154" s="25"/>
    </row>
    <row r="155" spans="1:23" ht="15.75">
      <c r="A155" s="67" t="s">
        <v>167</v>
      </c>
      <c r="B155" s="67"/>
      <c r="C155" s="2"/>
      <c r="D155" s="67"/>
      <c r="E155" s="25">
        <f>E130</f>
        <v>939080</v>
      </c>
      <c r="F155" s="25">
        <f>F130</f>
        <v>937766</v>
      </c>
      <c r="H155" s="25">
        <f>H130</f>
        <v>948250</v>
      </c>
      <c r="I155" s="25">
        <f>I130</f>
        <v>939058</v>
      </c>
      <c r="K155" s="25">
        <f aca="true" t="shared" si="10" ref="K155:Q155">K130</f>
        <v>948250</v>
      </c>
      <c r="L155" s="25">
        <f t="shared" si="10"/>
        <v>950899</v>
      </c>
      <c r="M155" s="25">
        <f t="shared" si="10"/>
        <v>955416</v>
      </c>
      <c r="N155" s="25">
        <f t="shared" si="10"/>
        <v>947375</v>
      </c>
      <c r="O155" s="25">
        <f t="shared" si="10"/>
        <v>951412</v>
      </c>
      <c r="P155" s="25">
        <f t="shared" si="10"/>
        <v>949985</v>
      </c>
      <c r="Q155" s="25">
        <f t="shared" si="10"/>
        <v>939294</v>
      </c>
      <c r="R155" s="2"/>
      <c r="S155" s="25">
        <f>S130</f>
        <v>946622</v>
      </c>
      <c r="T155" s="25">
        <f>T130</f>
        <v>946622</v>
      </c>
      <c r="U155" s="25">
        <f>U130</f>
        <v>946700</v>
      </c>
      <c r="V155" s="25">
        <f>V130</f>
        <v>988795</v>
      </c>
      <c r="W155" s="25">
        <f>W130</f>
        <v>938619</v>
      </c>
    </row>
    <row r="156" spans="1:23" ht="15.75">
      <c r="A156" s="87" t="s">
        <v>84</v>
      </c>
      <c r="B156" s="67"/>
      <c r="C156" s="24"/>
      <c r="D156" s="67"/>
      <c r="E156" s="81" t="s">
        <v>89</v>
      </c>
      <c r="F156" s="25" t="s">
        <v>89</v>
      </c>
      <c r="H156" s="25" t="s">
        <v>89</v>
      </c>
      <c r="I156" s="25" t="s">
        <v>89</v>
      </c>
      <c r="K156" s="25" t="s">
        <v>89</v>
      </c>
      <c r="L156" s="25" t="s">
        <v>89</v>
      </c>
      <c r="M156" s="25" t="s">
        <v>89</v>
      </c>
      <c r="N156" s="25" t="s">
        <v>89</v>
      </c>
      <c r="O156" s="25" t="s">
        <v>89</v>
      </c>
      <c r="P156" s="25" t="s">
        <v>89</v>
      </c>
      <c r="Q156" s="25" t="s">
        <v>89</v>
      </c>
      <c r="R156" s="2"/>
      <c r="S156" s="25" t="s">
        <v>89</v>
      </c>
      <c r="T156" s="25" t="s">
        <v>89</v>
      </c>
      <c r="U156" s="25" t="s">
        <v>89</v>
      </c>
      <c r="V156" s="25" t="s">
        <v>89</v>
      </c>
      <c r="W156" s="25" t="s">
        <v>89</v>
      </c>
    </row>
    <row r="157" spans="1:23" ht="15.75">
      <c r="A157" s="87" t="s">
        <v>169</v>
      </c>
      <c r="B157" s="67"/>
      <c r="C157" s="88"/>
      <c r="D157" s="67"/>
      <c r="E157" s="88" t="s">
        <v>303</v>
      </c>
      <c r="F157" s="88" t="s">
        <v>303</v>
      </c>
      <c r="G157" s="88"/>
      <c r="H157" s="88" t="s">
        <v>303</v>
      </c>
      <c r="I157" s="88" t="s">
        <v>303</v>
      </c>
      <c r="J157" s="88"/>
      <c r="K157" s="88" t="s">
        <v>303</v>
      </c>
      <c r="L157" s="88" t="s">
        <v>303</v>
      </c>
      <c r="M157" s="88" t="s">
        <v>303</v>
      </c>
      <c r="N157" s="88" t="s">
        <v>303</v>
      </c>
      <c r="O157" s="88" t="s">
        <v>303</v>
      </c>
      <c r="P157" s="88" t="s">
        <v>303</v>
      </c>
      <c r="Q157" s="88" t="s">
        <v>304</v>
      </c>
      <c r="R157" s="48"/>
      <c r="S157" s="88" t="s">
        <v>303</v>
      </c>
      <c r="T157" s="88" t="s">
        <v>303</v>
      </c>
      <c r="U157" s="88" t="s">
        <v>303</v>
      </c>
      <c r="V157" s="88" t="s">
        <v>303</v>
      </c>
      <c r="W157" s="88" t="s">
        <v>303</v>
      </c>
    </row>
    <row r="158" spans="1:23" ht="31.5">
      <c r="A158" s="87" t="s">
        <v>171</v>
      </c>
      <c r="B158" s="67"/>
      <c r="C158" s="24"/>
      <c r="D158" s="67"/>
      <c r="E158" s="88">
        <v>0</v>
      </c>
      <c r="F158" s="25">
        <v>0</v>
      </c>
      <c r="H158" s="25">
        <v>0</v>
      </c>
      <c r="I158" s="25">
        <v>0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25">
        <v>0</v>
      </c>
      <c r="Q158" s="25">
        <v>0</v>
      </c>
      <c r="R158" s="2"/>
      <c r="S158" s="25">
        <v>0</v>
      </c>
      <c r="T158" s="25">
        <v>0</v>
      </c>
      <c r="U158" s="25">
        <v>0</v>
      </c>
      <c r="V158" s="25">
        <v>0</v>
      </c>
      <c r="W158" s="25">
        <v>0</v>
      </c>
    </row>
    <row r="159" spans="1:23" ht="31.5">
      <c r="A159" s="87" t="s">
        <v>305</v>
      </c>
      <c r="B159" s="67"/>
      <c r="C159" s="26"/>
      <c r="D159" s="67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26"/>
      <c r="S159" s="76"/>
      <c r="T159" s="76"/>
      <c r="U159" s="76"/>
      <c r="V159" s="76"/>
      <c r="W159" s="76"/>
    </row>
    <row r="160" spans="1:23" ht="31.5">
      <c r="A160" s="87" t="s">
        <v>306</v>
      </c>
      <c r="B160" s="67"/>
      <c r="C160" s="26"/>
      <c r="D160" s="67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26"/>
      <c r="S160" s="76"/>
      <c r="T160" s="76"/>
      <c r="U160" s="76"/>
      <c r="V160" s="76"/>
      <c r="W160" s="76"/>
    </row>
    <row r="161" spans="1:23" ht="15.75">
      <c r="A161" s="64" t="s">
        <v>313</v>
      </c>
      <c r="B161" s="64"/>
      <c r="C161" s="91"/>
      <c r="D161" s="64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 t="s">
        <v>325</v>
      </c>
      <c r="P161" s="66" t="s">
        <v>326</v>
      </c>
      <c r="Q161" s="66"/>
      <c r="R161" s="91"/>
      <c r="S161" s="66"/>
      <c r="T161" s="66"/>
      <c r="U161" s="66"/>
      <c r="V161" s="66"/>
      <c r="W161" s="66"/>
    </row>
    <row r="162" spans="1:23" ht="15.75">
      <c r="A162" s="82" t="s">
        <v>137</v>
      </c>
      <c r="C162" s="2"/>
      <c r="D162" s="47"/>
      <c r="E162" s="25">
        <v>4</v>
      </c>
      <c r="F162" s="25">
        <v>4</v>
      </c>
      <c r="H162" s="25">
        <v>4</v>
      </c>
      <c r="I162" s="25">
        <v>4</v>
      </c>
      <c r="K162" s="25">
        <v>4</v>
      </c>
      <c r="L162" s="25">
        <v>4</v>
      </c>
      <c r="M162" s="25">
        <v>253</v>
      </c>
      <c r="N162" s="25">
        <v>4</v>
      </c>
      <c r="O162" s="25" t="s">
        <v>311</v>
      </c>
      <c r="P162" s="25" t="s">
        <v>312</v>
      </c>
      <c r="Q162" s="25">
        <v>4</v>
      </c>
      <c r="R162" s="2"/>
      <c r="S162" s="25">
        <v>4</v>
      </c>
      <c r="T162" s="25">
        <v>4</v>
      </c>
      <c r="U162" s="25">
        <v>4</v>
      </c>
      <c r="V162" s="25"/>
      <c r="W162" s="25"/>
    </row>
    <row r="163" spans="1:23" ht="15.75">
      <c r="A163" s="67" t="s">
        <v>300</v>
      </c>
      <c r="B163" s="82"/>
      <c r="C163" s="2"/>
      <c r="D163" s="82"/>
      <c r="E163" s="25">
        <v>0</v>
      </c>
      <c r="F163" s="25">
        <v>0</v>
      </c>
      <c r="H163" s="25">
        <v>1</v>
      </c>
      <c r="I163" s="25">
        <v>0</v>
      </c>
      <c r="K163" s="25">
        <v>1</v>
      </c>
      <c r="L163" s="25">
        <v>1</v>
      </c>
      <c r="M163" s="25">
        <v>255</v>
      </c>
      <c r="N163" s="25">
        <v>1</v>
      </c>
      <c r="O163" s="25">
        <v>1</v>
      </c>
      <c r="P163" s="25">
        <v>1</v>
      </c>
      <c r="Q163" s="25">
        <v>0</v>
      </c>
      <c r="R163" s="2"/>
      <c r="S163" s="25">
        <v>1</v>
      </c>
      <c r="T163" s="25">
        <v>1</v>
      </c>
      <c r="U163" s="25">
        <v>1</v>
      </c>
      <c r="V163" s="25"/>
      <c r="W163" s="25"/>
    </row>
    <row r="164" spans="1:23" ht="15.75">
      <c r="A164" s="67" t="s">
        <v>138</v>
      </c>
      <c r="C164" s="2"/>
      <c r="D164" s="47"/>
      <c r="E164" s="25">
        <v>0</v>
      </c>
      <c r="F164" s="25">
        <v>0</v>
      </c>
      <c r="H164" s="25">
        <v>1</v>
      </c>
      <c r="I164" s="25">
        <v>0</v>
      </c>
      <c r="K164" s="25">
        <v>1</v>
      </c>
      <c r="L164" s="25">
        <v>1</v>
      </c>
      <c r="M164" s="25">
        <v>2</v>
      </c>
      <c r="N164" s="25">
        <v>1</v>
      </c>
      <c r="O164" s="25">
        <v>2</v>
      </c>
      <c r="P164" s="25">
        <v>2</v>
      </c>
      <c r="Q164" s="25">
        <v>0</v>
      </c>
      <c r="R164" s="2"/>
      <c r="S164" s="25">
        <v>1</v>
      </c>
      <c r="T164" s="25">
        <v>1</v>
      </c>
      <c r="U164" s="25">
        <v>1</v>
      </c>
      <c r="V164" s="25"/>
      <c r="W164" s="25"/>
    </row>
    <row r="165" spans="1:23" ht="15.75">
      <c r="A165" s="67" t="s">
        <v>139</v>
      </c>
      <c r="C165" s="2"/>
      <c r="D165" s="47"/>
      <c r="E165" s="25" t="s">
        <v>100</v>
      </c>
      <c r="F165" s="25" t="s">
        <v>140</v>
      </c>
      <c r="H165" s="25" t="s">
        <v>102</v>
      </c>
      <c r="I165" s="25" t="s">
        <v>100</v>
      </c>
      <c r="K165" s="25" t="s">
        <v>102</v>
      </c>
      <c r="L165" s="25" t="s">
        <v>102</v>
      </c>
      <c r="M165" s="25" t="s">
        <v>140</v>
      </c>
      <c r="N165" s="25" t="s">
        <v>102</v>
      </c>
      <c r="O165" s="25" t="s">
        <v>140</v>
      </c>
      <c r="P165" s="25" t="s">
        <v>140</v>
      </c>
      <c r="Q165" s="25" t="s">
        <v>100</v>
      </c>
      <c r="R165" s="2"/>
      <c r="S165" s="25" t="s">
        <v>102</v>
      </c>
      <c r="T165" s="25" t="s">
        <v>102</v>
      </c>
      <c r="U165" s="25" t="s">
        <v>102</v>
      </c>
      <c r="V165" s="25"/>
      <c r="W165" s="25"/>
    </row>
    <row r="166" spans="1:23" ht="15.75">
      <c r="A166" s="67" t="s">
        <v>141</v>
      </c>
      <c r="C166" s="30"/>
      <c r="D166" s="47"/>
      <c r="E166" s="83">
        <f>2/3</f>
        <v>0.6666666666666666</v>
      </c>
      <c r="F166" s="84">
        <f>5/6</f>
        <v>0.8333333333333334</v>
      </c>
      <c r="G166" s="84"/>
      <c r="H166" s="84">
        <f>2/3</f>
        <v>0.6666666666666666</v>
      </c>
      <c r="I166" s="84">
        <f>2/3</f>
        <v>0.6666666666666666</v>
      </c>
      <c r="J166" s="84"/>
      <c r="K166" s="84">
        <f>2/3</f>
        <v>0.6666666666666666</v>
      </c>
      <c r="L166" s="84">
        <f>2/3</f>
        <v>0.6666666666666666</v>
      </c>
      <c r="M166" s="84">
        <f>3/4</f>
        <v>0.75</v>
      </c>
      <c r="N166" s="84">
        <f>2/3</f>
        <v>0.6666666666666666</v>
      </c>
      <c r="O166" s="84">
        <f>2/3</f>
        <v>0.6666666666666666</v>
      </c>
      <c r="P166" s="84">
        <f>2/3</f>
        <v>0.6666666666666666</v>
      </c>
      <c r="Q166" s="84">
        <f>2/3</f>
        <v>0.6666666666666666</v>
      </c>
      <c r="R166" s="99"/>
      <c r="S166" s="84">
        <f>2/3</f>
        <v>0.6666666666666666</v>
      </c>
      <c r="T166" s="84">
        <f>2/3</f>
        <v>0.6666666666666666</v>
      </c>
      <c r="U166" s="84">
        <f>2/3</f>
        <v>0.6666666666666666</v>
      </c>
      <c r="V166" s="84"/>
      <c r="W166" s="84"/>
    </row>
    <row r="167" spans="1:23" ht="15.75">
      <c r="A167" s="67" t="s">
        <v>147</v>
      </c>
      <c r="C167" s="2"/>
      <c r="D167" s="47"/>
      <c r="E167" s="25">
        <v>16200</v>
      </c>
      <c r="F167" s="25">
        <v>16200</v>
      </c>
      <c r="H167" s="25">
        <v>16200</v>
      </c>
      <c r="I167" s="25">
        <v>16200</v>
      </c>
      <c r="K167" s="25">
        <v>16200</v>
      </c>
      <c r="L167" s="25">
        <v>16200</v>
      </c>
      <c r="M167" s="25">
        <v>64800</v>
      </c>
      <c r="N167" s="25">
        <v>16200</v>
      </c>
      <c r="O167" s="25">
        <v>16200</v>
      </c>
      <c r="P167" s="25">
        <v>16200</v>
      </c>
      <c r="Q167" s="25">
        <v>16200</v>
      </c>
      <c r="R167" s="2"/>
      <c r="S167" s="25">
        <v>16200</v>
      </c>
      <c r="T167" s="25">
        <v>16200</v>
      </c>
      <c r="U167" s="25">
        <v>16200</v>
      </c>
      <c r="V167" s="25"/>
      <c r="W167" s="25"/>
    </row>
    <row r="168" spans="1:23" ht="15.75">
      <c r="A168" s="67" t="s">
        <v>148</v>
      </c>
      <c r="C168" s="2"/>
      <c r="D168" s="47"/>
      <c r="E168" s="25" t="s">
        <v>89</v>
      </c>
      <c r="F168" s="25" t="s">
        <v>89</v>
      </c>
      <c r="H168" s="25" t="s">
        <v>89</v>
      </c>
      <c r="I168" s="25" t="s">
        <v>89</v>
      </c>
      <c r="K168" s="25" t="s">
        <v>89</v>
      </c>
      <c r="L168" s="25" t="s">
        <v>89</v>
      </c>
      <c r="M168" s="25" t="s">
        <v>89</v>
      </c>
      <c r="N168" s="25" t="s">
        <v>89</v>
      </c>
      <c r="O168" s="25" t="s">
        <v>89</v>
      </c>
      <c r="P168" s="25" t="s">
        <v>89</v>
      </c>
      <c r="Q168" s="25" t="s">
        <v>89</v>
      </c>
      <c r="R168" s="2"/>
      <c r="S168" s="25" t="s">
        <v>89</v>
      </c>
      <c r="T168" s="25" t="s">
        <v>89</v>
      </c>
      <c r="U168" s="25" t="s">
        <v>89</v>
      </c>
      <c r="V168" s="25"/>
      <c r="W168" s="25"/>
    </row>
    <row r="169" spans="1:23" ht="15.75">
      <c r="A169" s="67" t="s">
        <v>149</v>
      </c>
      <c r="B169" s="49"/>
      <c r="C169" s="2"/>
      <c r="D169" s="49"/>
      <c r="E169" s="25">
        <v>35</v>
      </c>
      <c r="F169" s="25">
        <v>23</v>
      </c>
      <c r="H169" s="25">
        <v>12</v>
      </c>
      <c r="I169" s="25">
        <v>35</v>
      </c>
      <c r="K169" s="25">
        <v>12</v>
      </c>
      <c r="L169" s="25">
        <v>12</v>
      </c>
      <c r="M169" s="25" t="s">
        <v>301</v>
      </c>
      <c r="N169" s="25">
        <v>12</v>
      </c>
      <c r="O169" s="25" t="s">
        <v>301</v>
      </c>
      <c r="P169" s="25" t="s">
        <v>301</v>
      </c>
      <c r="Q169" s="25">
        <v>35</v>
      </c>
      <c r="R169" s="2"/>
      <c r="S169" s="25">
        <v>3</v>
      </c>
      <c r="T169" s="25">
        <v>12</v>
      </c>
      <c r="U169" s="25">
        <v>3</v>
      </c>
      <c r="V169" s="25"/>
      <c r="W169" s="25"/>
    </row>
    <row r="170" spans="1:23" ht="15.75">
      <c r="A170" s="67" t="s">
        <v>151</v>
      </c>
      <c r="C170" s="2"/>
      <c r="D170" s="47"/>
      <c r="E170" s="25">
        <v>35</v>
      </c>
      <c r="F170" s="25">
        <v>23</v>
      </c>
      <c r="H170" s="25">
        <v>12</v>
      </c>
      <c r="I170" s="25">
        <v>35</v>
      </c>
      <c r="K170" s="25">
        <v>12</v>
      </c>
      <c r="L170" s="25">
        <v>12</v>
      </c>
      <c r="M170" s="25">
        <v>13</v>
      </c>
      <c r="N170" s="25">
        <v>12</v>
      </c>
      <c r="O170" s="25">
        <v>1</v>
      </c>
      <c r="P170" s="25">
        <v>1</v>
      </c>
      <c r="Q170" s="25">
        <v>35</v>
      </c>
      <c r="R170" s="2"/>
      <c r="S170" s="25">
        <v>3</v>
      </c>
      <c r="T170" s="25">
        <v>12</v>
      </c>
      <c r="U170" s="25">
        <v>3</v>
      </c>
      <c r="V170" s="25"/>
      <c r="W170" s="25"/>
    </row>
    <row r="171" spans="1:23" ht="15.75">
      <c r="A171" s="67" t="s">
        <v>153</v>
      </c>
      <c r="B171" s="49"/>
      <c r="C171" s="2"/>
      <c r="D171" s="49"/>
      <c r="E171" s="25">
        <v>1</v>
      </c>
      <c r="F171" s="25">
        <v>1</v>
      </c>
      <c r="H171" s="25">
        <v>1</v>
      </c>
      <c r="I171" s="25">
        <v>1</v>
      </c>
      <c r="K171" s="25">
        <v>1</v>
      </c>
      <c r="L171" s="25">
        <v>1</v>
      </c>
      <c r="M171" s="25">
        <v>1</v>
      </c>
      <c r="N171" s="25">
        <v>1</v>
      </c>
      <c r="O171" s="25">
        <v>1</v>
      </c>
      <c r="P171" s="25">
        <v>1</v>
      </c>
      <c r="Q171" s="25">
        <v>1</v>
      </c>
      <c r="R171" s="2"/>
      <c r="S171" s="25">
        <v>1</v>
      </c>
      <c r="T171" s="25">
        <v>1</v>
      </c>
      <c r="U171" s="25">
        <v>1</v>
      </c>
      <c r="V171" s="25"/>
      <c r="W171" s="25"/>
    </row>
    <row r="172" spans="1:23" ht="15.75">
      <c r="A172" s="67" t="s">
        <v>155</v>
      </c>
      <c r="B172" s="49"/>
      <c r="C172" s="2"/>
      <c r="D172" s="49"/>
      <c r="E172" s="25">
        <v>1</v>
      </c>
      <c r="F172" s="25">
        <v>1</v>
      </c>
      <c r="H172" s="25">
        <v>1</v>
      </c>
      <c r="I172" s="25">
        <v>2</v>
      </c>
      <c r="K172" s="25">
        <v>1</v>
      </c>
      <c r="L172" s="25">
        <v>1</v>
      </c>
      <c r="M172" s="25">
        <v>1</v>
      </c>
      <c r="N172" s="25">
        <v>1</v>
      </c>
      <c r="O172" s="25">
        <v>1</v>
      </c>
      <c r="P172" s="25">
        <v>1</v>
      </c>
      <c r="Q172" s="25">
        <v>1</v>
      </c>
      <c r="R172" s="2"/>
      <c r="S172" s="25">
        <v>1</v>
      </c>
      <c r="T172" s="25">
        <v>1</v>
      </c>
      <c r="U172" s="25">
        <v>1</v>
      </c>
      <c r="V172" s="25"/>
      <c r="W172" s="25"/>
    </row>
    <row r="173" spans="1:23" ht="15.75">
      <c r="A173" s="67" t="s">
        <v>156</v>
      </c>
      <c r="C173" s="2"/>
      <c r="D173" s="47"/>
      <c r="E173" s="25">
        <v>1</v>
      </c>
      <c r="F173" s="25">
        <v>1</v>
      </c>
      <c r="H173" s="25">
        <v>4</v>
      </c>
      <c r="I173" s="25">
        <v>1</v>
      </c>
      <c r="K173" s="25">
        <v>4</v>
      </c>
      <c r="L173" s="25">
        <v>4</v>
      </c>
      <c r="M173" s="25">
        <v>1</v>
      </c>
      <c r="N173" s="25">
        <v>4</v>
      </c>
      <c r="O173" s="25">
        <v>1</v>
      </c>
      <c r="P173" s="25">
        <v>1</v>
      </c>
      <c r="Q173" s="25">
        <v>1</v>
      </c>
      <c r="R173" s="2"/>
      <c r="S173" s="25">
        <v>1</v>
      </c>
      <c r="T173" s="25">
        <v>4</v>
      </c>
      <c r="U173" s="25">
        <v>1</v>
      </c>
      <c r="V173" s="25"/>
      <c r="W173" s="25"/>
    </row>
    <row r="174" spans="1:23" ht="15.75">
      <c r="A174" s="67" t="s">
        <v>302</v>
      </c>
      <c r="B174" s="67"/>
      <c r="C174" s="2"/>
      <c r="D174" s="67"/>
      <c r="E174" s="25">
        <v>0</v>
      </c>
      <c r="F174" s="25">
        <v>0</v>
      </c>
      <c r="H174" s="25">
        <v>0</v>
      </c>
      <c r="I174" s="25">
        <v>0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  <c r="P174" s="25">
        <v>0</v>
      </c>
      <c r="Q174" s="25">
        <v>0</v>
      </c>
      <c r="R174" s="2"/>
      <c r="S174" s="25">
        <v>0</v>
      </c>
      <c r="T174" s="25">
        <v>0</v>
      </c>
      <c r="U174" s="25">
        <v>0</v>
      </c>
      <c r="V174" s="25"/>
      <c r="W174" s="25"/>
    </row>
    <row r="175" spans="1:23" ht="15.75">
      <c r="A175" s="85" t="s">
        <v>159</v>
      </c>
      <c r="B175" s="64"/>
      <c r="C175" s="91"/>
      <c r="D175" s="64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91"/>
      <c r="S175" s="66"/>
      <c r="T175" s="66"/>
      <c r="U175" s="66"/>
      <c r="V175" s="66"/>
      <c r="W175" s="66"/>
    </row>
    <row r="176" spans="1:23" ht="15.75">
      <c r="A176" s="67" t="s">
        <v>160</v>
      </c>
      <c r="C176" s="2"/>
      <c r="D176" s="47"/>
      <c r="E176" s="25" t="s">
        <v>161</v>
      </c>
      <c r="F176" s="25" t="s">
        <v>161</v>
      </c>
      <c r="H176" s="25" t="s">
        <v>161</v>
      </c>
      <c r="I176" s="25" t="s">
        <v>161</v>
      </c>
      <c r="K176" s="25" t="s">
        <v>161</v>
      </c>
      <c r="L176" s="25" t="s">
        <v>161</v>
      </c>
      <c r="M176" s="25" t="s">
        <v>161</v>
      </c>
      <c r="N176" s="25" t="s">
        <v>161</v>
      </c>
      <c r="O176" s="25" t="s">
        <v>163</v>
      </c>
      <c r="P176" s="25" t="s">
        <v>163</v>
      </c>
      <c r="Q176" s="25" t="s">
        <v>161</v>
      </c>
      <c r="R176" s="2"/>
      <c r="S176" s="25" t="s">
        <v>161</v>
      </c>
      <c r="T176" s="25" t="s">
        <v>161</v>
      </c>
      <c r="U176" s="25" t="s">
        <v>161</v>
      </c>
      <c r="V176" s="25"/>
      <c r="W176" s="25"/>
    </row>
    <row r="177" spans="1:23" ht="15.75">
      <c r="A177" s="67" t="s">
        <v>164</v>
      </c>
      <c r="C177" s="2"/>
      <c r="D177" s="47"/>
      <c r="E177" s="25" t="s">
        <v>89</v>
      </c>
      <c r="F177" s="25" t="s">
        <v>89</v>
      </c>
      <c r="H177" s="25" t="s">
        <v>89</v>
      </c>
      <c r="I177" s="25" t="s">
        <v>89</v>
      </c>
      <c r="K177" s="25" t="s">
        <v>89</v>
      </c>
      <c r="L177" s="25" t="s">
        <v>89</v>
      </c>
      <c r="M177" s="25" t="s">
        <v>89</v>
      </c>
      <c r="N177" s="25" t="s">
        <v>89</v>
      </c>
      <c r="O177" s="25" t="s">
        <v>89</v>
      </c>
      <c r="P177" s="25" t="s">
        <v>89</v>
      </c>
      <c r="Q177" s="25" t="s">
        <v>89</v>
      </c>
      <c r="R177" s="2"/>
      <c r="S177" s="25" t="s">
        <v>89</v>
      </c>
      <c r="T177" s="25" t="s">
        <v>89</v>
      </c>
      <c r="U177" s="25" t="s">
        <v>89</v>
      </c>
      <c r="V177" s="25"/>
      <c r="W177" s="25"/>
    </row>
    <row r="178" spans="1:23" ht="15.75">
      <c r="A178" s="67" t="s">
        <v>166</v>
      </c>
      <c r="B178" s="67"/>
      <c r="C178" s="2"/>
      <c r="D178" s="67"/>
      <c r="E178" s="25">
        <f>416*1024</f>
        <v>425984</v>
      </c>
      <c r="F178" s="25">
        <f>416*1024</f>
        <v>425984</v>
      </c>
      <c r="H178" s="25">
        <f>1024*1024</f>
        <v>1048576</v>
      </c>
      <c r="I178" s="25">
        <f>416*1024</f>
        <v>425984</v>
      </c>
      <c r="K178" s="25">
        <f aca="true" t="shared" si="11" ref="K178:P178">1024*1024</f>
        <v>1048576</v>
      </c>
      <c r="L178" s="25">
        <f t="shared" si="11"/>
        <v>1048576</v>
      </c>
      <c r="M178" s="25">
        <f t="shared" si="11"/>
        <v>1048576</v>
      </c>
      <c r="N178" s="25">
        <f t="shared" si="11"/>
        <v>1048576</v>
      </c>
      <c r="O178" s="25">
        <f t="shared" si="11"/>
        <v>1048576</v>
      </c>
      <c r="P178" s="25">
        <f t="shared" si="11"/>
        <v>1048576</v>
      </c>
      <c r="Q178" s="25">
        <f>416*1024</f>
        <v>425984</v>
      </c>
      <c r="R178" s="2"/>
      <c r="S178" s="25">
        <f>1024*1024</f>
        <v>1048576</v>
      </c>
      <c r="T178" s="25">
        <f>1024*1024</f>
        <v>1048576</v>
      </c>
      <c r="U178" s="25">
        <f>1024*1024</f>
        <v>1048576</v>
      </c>
      <c r="V178" s="25"/>
      <c r="W178" s="25"/>
    </row>
    <row r="179" spans="1:23" ht="15.75">
      <c r="A179" s="67"/>
      <c r="B179" s="67"/>
      <c r="C179" s="100"/>
      <c r="D179" s="67"/>
      <c r="L179" s="25"/>
      <c r="M179" s="25"/>
      <c r="N179" s="25"/>
      <c r="P179" s="25"/>
      <c r="R179" s="100"/>
      <c r="S179" s="25"/>
      <c r="T179" s="25"/>
      <c r="U179" s="25"/>
      <c r="V179" s="25"/>
      <c r="W179" s="25"/>
    </row>
    <row r="180" spans="1:23" ht="15.75">
      <c r="A180" s="67" t="s">
        <v>167</v>
      </c>
      <c r="B180" s="67"/>
      <c r="C180" s="2"/>
      <c r="D180" s="67"/>
      <c r="E180" s="25">
        <f>E155</f>
        <v>939080</v>
      </c>
      <c r="F180" s="25">
        <f>F155</f>
        <v>937766</v>
      </c>
      <c r="H180" s="25">
        <f>4*931328+216667+48155</f>
        <v>3990134</v>
      </c>
      <c r="I180" s="25">
        <f>2*926720+12338</f>
        <v>1865778</v>
      </c>
      <c r="K180" s="25">
        <f>4*931328+216667+48155</f>
        <v>3990134</v>
      </c>
      <c r="L180" s="25">
        <f>4*931328+216667+50804</f>
        <v>3992783</v>
      </c>
      <c r="M180" s="25">
        <f>M155</f>
        <v>955416</v>
      </c>
      <c r="N180" s="25">
        <f>4*931328+216667+47280</f>
        <v>3989259</v>
      </c>
      <c r="O180" s="25">
        <f>931328+0+27088</f>
        <v>958416</v>
      </c>
      <c r="P180" s="25">
        <f>931328+0+68633</f>
        <v>999961</v>
      </c>
      <c r="Q180" s="25">
        <f>Q155</f>
        <v>939294</v>
      </c>
      <c r="R180" s="2"/>
      <c r="S180" s="25">
        <f>931328+46527</f>
        <v>977855</v>
      </c>
      <c r="T180" s="25">
        <f>4*931328+46527</f>
        <v>3771839</v>
      </c>
      <c r="U180" s="25">
        <f>931328+46605</f>
        <v>977933</v>
      </c>
      <c r="V180" s="25"/>
      <c r="W180" s="25"/>
    </row>
    <row r="181" spans="1:23" ht="15.75">
      <c r="A181" s="87" t="s">
        <v>84</v>
      </c>
      <c r="C181" s="24"/>
      <c r="D181" s="47"/>
      <c r="E181" s="81" t="s">
        <v>89</v>
      </c>
      <c r="F181" s="25" t="s">
        <v>89</v>
      </c>
      <c r="H181" s="25" t="s">
        <v>89</v>
      </c>
      <c r="I181" s="25" t="s">
        <v>89</v>
      </c>
      <c r="K181" s="25" t="s">
        <v>89</v>
      </c>
      <c r="L181" s="25" t="s">
        <v>89</v>
      </c>
      <c r="M181" s="25" t="s">
        <v>89</v>
      </c>
      <c r="N181" s="25" t="s">
        <v>89</v>
      </c>
      <c r="O181" s="25" t="s">
        <v>89</v>
      </c>
      <c r="P181" s="25" t="s">
        <v>89</v>
      </c>
      <c r="Q181" s="25" t="s">
        <v>89</v>
      </c>
      <c r="R181" s="2"/>
      <c r="S181" s="25" t="s">
        <v>89</v>
      </c>
      <c r="T181" s="25" t="s">
        <v>89</v>
      </c>
      <c r="U181" s="25" t="s">
        <v>89</v>
      </c>
      <c r="V181" s="25"/>
      <c r="W181" s="25"/>
    </row>
    <row r="182" spans="1:23" ht="15.75">
      <c r="A182" s="87" t="s">
        <v>169</v>
      </c>
      <c r="C182" s="88"/>
      <c r="D182" s="47"/>
      <c r="E182" s="88" t="s">
        <v>303</v>
      </c>
      <c r="F182" s="88" t="s">
        <v>303</v>
      </c>
      <c r="G182" s="88"/>
      <c r="H182" s="88" t="s">
        <v>90</v>
      </c>
      <c r="I182" s="88" t="s">
        <v>90</v>
      </c>
      <c r="J182" s="88"/>
      <c r="K182" s="88" t="s">
        <v>90</v>
      </c>
      <c r="L182" s="88" t="s">
        <v>90</v>
      </c>
      <c r="M182" s="88" t="s">
        <v>303</v>
      </c>
      <c r="N182" s="88" t="s">
        <v>90</v>
      </c>
      <c r="O182" s="88" t="s">
        <v>303</v>
      </c>
      <c r="P182" s="88" t="s">
        <v>303</v>
      </c>
      <c r="Q182" s="88" t="s">
        <v>304</v>
      </c>
      <c r="R182" s="48"/>
      <c r="S182" s="88" t="s">
        <v>303</v>
      </c>
      <c r="T182" s="88" t="s">
        <v>90</v>
      </c>
      <c r="U182" s="88" t="s">
        <v>303</v>
      </c>
      <c r="V182" s="88"/>
      <c r="W182" s="88"/>
    </row>
    <row r="183" spans="1:23" ht="31.5">
      <c r="A183" s="87" t="s">
        <v>171</v>
      </c>
      <c r="C183" s="24"/>
      <c r="D183" s="47"/>
      <c r="E183" s="88">
        <v>0</v>
      </c>
      <c r="F183" s="25">
        <v>0</v>
      </c>
      <c r="L183" s="25"/>
      <c r="M183" s="25">
        <v>0</v>
      </c>
      <c r="N183" s="25"/>
      <c r="O183" s="25">
        <v>0</v>
      </c>
      <c r="P183" s="25">
        <v>0</v>
      </c>
      <c r="Q183" s="25">
        <v>0</v>
      </c>
      <c r="R183" s="2"/>
      <c r="S183" s="25"/>
      <c r="T183" s="25"/>
      <c r="U183" s="25"/>
      <c r="V183" s="25"/>
      <c r="W183" s="25"/>
    </row>
    <row r="184" spans="1:23" ht="31.5">
      <c r="A184" s="87" t="s">
        <v>305</v>
      </c>
      <c r="C184" s="2"/>
      <c r="D184" s="47"/>
      <c r="L184" s="25"/>
      <c r="M184" s="25"/>
      <c r="N184" s="25"/>
      <c r="P184" s="25"/>
      <c r="R184" s="2"/>
      <c r="S184" s="25"/>
      <c r="T184" s="25"/>
      <c r="U184" s="25"/>
      <c r="V184" s="25"/>
      <c r="W184" s="25"/>
    </row>
    <row r="185" spans="1:23" ht="31.5">
      <c r="A185" s="87" t="s">
        <v>306</v>
      </c>
      <c r="C185" s="2"/>
      <c r="D185" s="47"/>
      <c r="L185" s="25"/>
      <c r="M185" s="25"/>
      <c r="N185" s="25"/>
      <c r="P185" s="25"/>
      <c r="R185" s="2"/>
      <c r="S185" s="25"/>
      <c r="T185" s="25"/>
      <c r="U185" s="25"/>
      <c r="V185" s="25"/>
      <c r="W185" s="25"/>
    </row>
    <row r="186" spans="1:23" ht="15.75">
      <c r="A186" s="64" t="s">
        <v>314</v>
      </c>
      <c r="B186" s="64"/>
      <c r="C186" s="91"/>
      <c r="D186" s="64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 t="s">
        <v>364</v>
      </c>
      <c r="P186" s="66" t="s">
        <v>354</v>
      </c>
      <c r="Q186" s="66"/>
      <c r="R186" s="91"/>
      <c r="S186" s="66"/>
      <c r="T186" s="66"/>
      <c r="U186" s="66"/>
      <c r="V186" s="66"/>
      <c r="W186" s="66"/>
    </row>
    <row r="187" spans="1:23" ht="15.75">
      <c r="A187" s="82" t="s">
        <v>137</v>
      </c>
      <c r="C187" s="2"/>
      <c r="D187" s="47"/>
      <c r="H187" s="25">
        <v>5</v>
      </c>
      <c r="K187" s="25">
        <v>5</v>
      </c>
      <c r="L187" s="25">
        <v>5</v>
      </c>
      <c r="M187" s="25">
        <v>254</v>
      </c>
      <c r="N187" s="25">
        <v>5</v>
      </c>
      <c r="O187" s="25">
        <v>86</v>
      </c>
      <c r="P187" s="25">
        <v>18</v>
      </c>
      <c r="R187" s="2"/>
      <c r="S187" s="25">
        <v>5</v>
      </c>
      <c r="T187" s="25">
        <v>5</v>
      </c>
      <c r="U187" s="25">
        <v>5</v>
      </c>
      <c r="V187" s="25"/>
      <c r="W187" s="25"/>
    </row>
    <row r="188" spans="1:23" ht="15.75">
      <c r="A188" s="67" t="s">
        <v>300</v>
      </c>
      <c r="B188" s="82"/>
      <c r="C188" s="2"/>
      <c r="D188" s="82"/>
      <c r="H188" s="25">
        <v>1</v>
      </c>
      <c r="K188" s="25">
        <v>1</v>
      </c>
      <c r="L188" s="25">
        <v>1</v>
      </c>
      <c r="M188" s="25">
        <v>255</v>
      </c>
      <c r="N188" s="25">
        <v>1</v>
      </c>
      <c r="O188" s="25">
        <v>1</v>
      </c>
      <c r="P188" s="25">
        <v>1</v>
      </c>
      <c r="R188" s="2"/>
      <c r="S188" s="25">
        <v>1</v>
      </c>
      <c r="T188" s="25">
        <v>1</v>
      </c>
      <c r="U188" s="25">
        <v>1</v>
      </c>
      <c r="V188" s="25"/>
      <c r="W188" s="25"/>
    </row>
    <row r="189" spans="1:23" ht="15.75">
      <c r="A189" s="67" t="s">
        <v>138</v>
      </c>
      <c r="C189" s="2"/>
      <c r="D189" s="47"/>
      <c r="H189" s="25">
        <v>1</v>
      </c>
      <c r="K189" s="25">
        <v>1</v>
      </c>
      <c r="L189" s="25">
        <v>1</v>
      </c>
      <c r="M189" s="25">
        <v>2</v>
      </c>
      <c r="N189" s="25">
        <v>1</v>
      </c>
      <c r="O189" s="25">
        <v>0</v>
      </c>
      <c r="P189" s="25">
        <v>0</v>
      </c>
      <c r="R189" s="2"/>
      <c r="S189" s="25">
        <v>1</v>
      </c>
      <c r="T189" s="25">
        <v>1</v>
      </c>
      <c r="U189" s="25">
        <v>1</v>
      </c>
      <c r="V189" s="25"/>
      <c r="W189" s="25"/>
    </row>
    <row r="190" spans="1:23" ht="15.75">
      <c r="A190" s="67" t="s">
        <v>139</v>
      </c>
      <c r="C190" s="2"/>
      <c r="D190" s="47"/>
      <c r="H190" s="25" t="s">
        <v>102</v>
      </c>
      <c r="K190" s="25" t="s">
        <v>102</v>
      </c>
      <c r="L190" s="25" t="s">
        <v>102</v>
      </c>
      <c r="M190" s="25" t="s">
        <v>140</v>
      </c>
      <c r="N190" s="25" t="s">
        <v>102</v>
      </c>
      <c r="O190" s="25" t="s">
        <v>140</v>
      </c>
      <c r="P190" s="25" t="s">
        <v>140</v>
      </c>
      <c r="R190" s="2"/>
      <c r="S190" s="25" t="s">
        <v>102</v>
      </c>
      <c r="T190" s="25" t="s">
        <v>102</v>
      </c>
      <c r="U190" s="25" t="s">
        <v>102</v>
      </c>
      <c r="V190" s="25"/>
      <c r="W190" s="25"/>
    </row>
    <row r="191" spans="1:23" ht="15.75">
      <c r="A191" s="67" t="s">
        <v>141</v>
      </c>
      <c r="C191" s="2"/>
      <c r="D191" s="47"/>
      <c r="F191" s="84"/>
      <c r="G191" s="84"/>
      <c r="H191" s="84">
        <f>2/3</f>
        <v>0.6666666666666666</v>
      </c>
      <c r="I191" s="84"/>
      <c r="J191" s="84"/>
      <c r="K191" s="84">
        <f>2/3</f>
        <v>0.6666666666666666</v>
      </c>
      <c r="L191" s="84">
        <f>2/3</f>
        <v>0.6666666666666666</v>
      </c>
      <c r="M191" s="84">
        <f>3/4</f>
        <v>0.75</v>
      </c>
      <c r="N191" s="84">
        <f>2/3</f>
        <v>0.6666666666666666</v>
      </c>
      <c r="O191" s="84">
        <f>2/3</f>
        <v>0.6666666666666666</v>
      </c>
      <c r="P191" s="84">
        <f>2/3</f>
        <v>0.6666666666666666</v>
      </c>
      <c r="Q191" s="84"/>
      <c r="R191" s="99"/>
      <c r="S191" s="84">
        <f>2/3</f>
        <v>0.6666666666666666</v>
      </c>
      <c r="T191" s="84">
        <f>2/3</f>
        <v>0.6666666666666666</v>
      </c>
      <c r="U191" s="84">
        <f>2/3</f>
        <v>0.6666666666666666</v>
      </c>
      <c r="V191" s="84"/>
      <c r="W191" s="84"/>
    </row>
    <row r="192" spans="1:23" ht="15.75">
      <c r="A192" s="67" t="s">
        <v>147</v>
      </c>
      <c r="C192" s="2"/>
      <c r="D192" s="47"/>
      <c r="H192" s="25">
        <v>16200</v>
      </c>
      <c r="K192" s="25">
        <v>16200</v>
      </c>
      <c r="L192" s="25">
        <v>16200</v>
      </c>
      <c r="M192" s="25">
        <v>64800</v>
      </c>
      <c r="N192" s="25">
        <v>16200</v>
      </c>
      <c r="O192" s="25">
        <v>16200</v>
      </c>
      <c r="P192" s="25">
        <v>16200</v>
      </c>
      <c r="R192" s="2"/>
      <c r="S192" s="25">
        <v>16200</v>
      </c>
      <c r="T192" s="25">
        <v>16200</v>
      </c>
      <c r="U192" s="25">
        <v>16200</v>
      </c>
      <c r="V192" s="25"/>
      <c r="W192" s="25"/>
    </row>
    <row r="193" spans="1:23" ht="15.75">
      <c r="A193" s="67" t="s">
        <v>148</v>
      </c>
      <c r="C193" s="2"/>
      <c r="D193" s="47"/>
      <c r="H193" s="25" t="s">
        <v>89</v>
      </c>
      <c r="K193" s="25" t="s">
        <v>89</v>
      </c>
      <c r="L193" s="25" t="s">
        <v>89</v>
      </c>
      <c r="M193" s="25" t="s">
        <v>89</v>
      </c>
      <c r="N193" s="25" t="s">
        <v>89</v>
      </c>
      <c r="O193" s="25" t="s">
        <v>89</v>
      </c>
      <c r="P193" s="25" t="s">
        <v>89</v>
      </c>
      <c r="R193" s="2"/>
      <c r="S193" s="25" t="s">
        <v>89</v>
      </c>
      <c r="T193" s="25" t="s">
        <v>89</v>
      </c>
      <c r="U193" s="25" t="s">
        <v>89</v>
      </c>
      <c r="V193" s="25"/>
      <c r="W193" s="25"/>
    </row>
    <row r="194" spans="1:23" ht="15.75">
      <c r="A194" s="67" t="s">
        <v>149</v>
      </c>
      <c r="B194" s="49"/>
      <c r="C194" s="2"/>
      <c r="D194" s="49"/>
      <c r="H194" s="25">
        <v>12</v>
      </c>
      <c r="K194" s="25">
        <v>12</v>
      </c>
      <c r="L194" s="25">
        <v>12</v>
      </c>
      <c r="M194" s="25" t="s">
        <v>301</v>
      </c>
      <c r="N194" s="25">
        <v>12</v>
      </c>
      <c r="O194" s="25" t="s">
        <v>301</v>
      </c>
      <c r="P194" s="25" t="s">
        <v>301</v>
      </c>
      <c r="R194" s="2"/>
      <c r="S194" s="25">
        <v>3</v>
      </c>
      <c r="T194" s="25">
        <v>12</v>
      </c>
      <c r="U194" s="25">
        <v>3</v>
      </c>
      <c r="V194" s="25"/>
      <c r="W194" s="25"/>
    </row>
    <row r="195" spans="1:23" ht="15.75">
      <c r="A195" s="67" t="s">
        <v>151</v>
      </c>
      <c r="C195" s="2"/>
      <c r="D195" s="47"/>
      <c r="H195" s="25">
        <v>12</v>
      </c>
      <c r="K195" s="25">
        <v>12</v>
      </c>
      <c r="L195" s="25">
        <v>12</v>
      </c>
      <c r="M195" s="25">
        <v>13</v>
      </c>
      <c r="N195" s="25">
        <v>12</v>
      </c>
      <c r="O195" s="25">
        <v>1</v>
      </c>
      <c r="P195" s="25">
        <v>1</v>
      </c>
      <c r="R195" s="2"/>
      <c r="S195" s="25">
        <v>3</v>
      </c>
      <c r="T195" s="25">
        <v>12</v>
      </c>
      <c r="U195" s="25">
        <v>3</v>
      </c>
      <c r="V195" s="25"/>
      <c r="W195" s="25"/>
    </row>
    <row r="196" spans="1:23" ht="15.75">
      <c r="A196" s="67" t="s">
        <v>153</v>
      </c>
      <c r="B196" s="49"/>
      <c r="C196" s="2"/>
      <c r="D196" s="49"/>
      <c r="H196" s="25">
        <v>1</v>
      </c>
      <c r="K196" s="25">
        <v>1</v>
      </c>
      <c r="L196" s="25">
        <v>1</v>
      </c>
      <c r="M196" s="25">
        <v>1</v>
      </c>
      <c r="N196" s="25">
        <v>1</v>
      </c>
      <c r="O196" s="25">
        <v>1</v>
      </c>
      <c r="P196" s="25">
        <v>1</v>
      </c>
      <c r="R196" s="2"/>
      <c r="S196" s="25">
        <v>1</v>
      </c>
      <c r="T196" s="25">
        <v>1</v>
      </c>
      <c r="U196" s="25">
        <v>1</v>
      </c>
      <c r="V196" s="25"/>
      <c r="W196" s="25"/>
    </row>
    <row r="197" spans="1:23" ht="15.75">
      <c r="A197" s="67" t="s">
        <v>155</v>
      </c>
      <c r="B197" s="49"/>
      <c r="C197" s="2"/>
      <c r="D197" s="49"/>
      <c r="H197" s="25">
        <v>1</v>
      </c>
      <c r="K197" s="25">
        <v>1</v>
      </c>
      <c r="L197" s="25">
        <v>1</v>
      </c>
      <c r="M197" s="25">
        <v>1</v>
      </c>
      <c r="N197" s="25">
        <v>1</v>
      </c>
      <c r="O197" s="25">
        <v>1</v>
      </c>
      <c r="P197" s="25">
        <v>1</v>
      </c>
      <c r="R197" s="2"/>
      <c r="S197" s="25">
        <v>1</v>
      </c>
      <c r="T197" s="25">
        <v>1</v>
      </c>
      <c r="U197" s="25">
        <v>1</v>
      </c>
      <c r="V197" s="25"/>
      <c r="W197" s="25"/>
    </row>
    <row r="198" spans="1:23" ht="15.75">
      <c r="A198" s="67" t="s">
        <v>156</v>
      </c>
      <c r="C198" s="2"/>
      <c r="D198" s="47"/>
      <c r="H198" s="25">
        <v>4</v>
      </c>
      <c r="K198" s="25">
        <v>4</v>
      </c>
      <c r="L198" s="25">
        <v>4</v>
      </c>
      <c r="M198" s="25">
        <v>1</v>
      </c>
      <c r="N198" s="25">
        <v>4</v>
      </c>
      <c r="O198" s="25">
        <v>1</v>
      </c>
      <c r="P198" s="25">
        <v>1</v>
      </c>
      <c r="R198" s="2"/>
      <c r="S198" s="25">
        <v>1</v>
      </c>
      <c r="T198" s="25">
        <v>4</v>
      </c>
      <c r="U198" s="25">
        <v>1</v>
      </c>
      <c r="V198" s="25"/>
      <c r="W198" s="25"/>
    </row>
    <row r="199" spans="1:23" ht="15.75">
      <c r="A199" s="67" t="s">
        <v>302</v>
      </c>
      <c r="B199" s="67"/>
      <c r="C199" s="2"/>
      <c r="D199" s="67"/>
      <c r="H199" s="25">
        <v>1</v>
      </c>
      <c r="K199" s="25">
        <v>1</v>
      </c>
      <c r="L199" s="25">
        <v>1</v>
      </c>
      <c r="M199" s="25">
        <v>0</v>
      </c>
      <c r="N199" s="25">
        <v>1</v>
      </c>
      <c r="O199" s="25">
        <v>0</v>
      </c>
      <c r="P199" s="25">
        <v>0</v>
      </c>
      <c r="R199" s="2"/>
      <c r="S199" s="25">
        <v>0</v>
      </c>
      <c r="T199" s="25">
        <v>1</v>
      </c>
      <c r="U199" s="25">
        <v>0</v>
      </c>
      <c r="V199" s="25"/>
      <c r="W199" s="25"/>
    </row>
    <row r="200" spans="1:23" ht="15.75">
      <c r="A200" s="85" t="s">
        <v>159</v>
      </c>
      <c r="B200" s="64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</row>
    <row r="201" spans="1:23" ht="15.75">
      <c r="A201" s="67" t="s">
        <v>160</v>
      </c>
      <c r="C201" s="2"/>
      <c r="D201" s="47"/>
      <c r="H201" s="25" t="s">
        <v>161</v>
      </c>
      <c r="K201" s="25" t="s">
        <v>161</v>
      </c>
      <c r="L201" s="25" t="s">
        <v>161</v>
      </c>
      <c r="M201" s="25" t="s">
        <v>161</v>
      </c>
      <c r="N201" s="25" t="s">
        <v>161</v>
      </c>
      <c r="O201" s="25" t="s">
        <v>163</v>
      </c>
      <c r="P201" s="25" t="s">
        <v>163</v>
      </c>
      <c r="R201" s="2"/>
      <c r="S201" s="25" t="s">
        <v>161</v>
      </c>
      <c r="T201" s="25" t="s">
        <v>161</v>
      </c>
      <c r="U201" s="25" t="s">
        <v>161</v>
      </c>
      <c r="V201" s="25"/>
      <c r="W201" s="25"/>
    </row>
    <row r="202" spans="1:23" ht="15.75">
      <c r="A202" s="67" t="s">
        <v>164</v>
      </c>
      <c r="C202" s="2"/>
      <c r="D202" s="47"/>
      <c r="H202" s="25" t="s">
        <v>89</v>
      </c>
      <c r="K202" s="25" t="s">
        <v>89</v>
      </c>
      <c r="L202" s="25" t="s">
        <v>89</v>
      </c>
      <c r="M202" s="25" t="s">
        <v>89</v>
      </c>
      <c r="N202" s="25" t="s">
        <v>89</v>
      </c>
      <c r="O202" s="25" t="s">
        <v>89</v>
      </c>
      <c r="P202" s="25" t="s">
        <v>89</v>
      </c>
      <c r="R202" s="2"/>
      <c r="S202" s="25" t="s">
        <v>89</v>
      </c>
      <c r="T202" s="25" t="s">
        <v>89</v>
      </c>
      <c r="U202" s="25" t="s">
        <v>89</v>
      </c>
      <c r="V202" s="25"/>
      <c r="W202" s="25"/>
    </row>
    <row r="203" spans="1:23" ht="15.75">
      <c r="A203" s="67" t="s">
        <v>166</v>
      </c>
      <c r="B203" s="67"/>
      <c r="C203" s="2"/>
      <c r="D203" s="67"/>
      <c r="H203" s="25">
        <f>1024*1024</f>
        <v>1048576</v>
      </c>
      <c r="K203" s="25">
        <f>1024*1024</f>
        <v>1048576</v>
      </c>
      <c r="L203" s="25">
        <f>1024*1024</f>
        <v>1048576</v>
      </c>
      <c r="M203" s="25">
        <f>1024*1024</f>
        <v>1048576</v>
      </c>
      <c r="N203" s="25">
        <f>1024*1024</f>
        <v>1048576</v>
      </c>
      <c r="O203" s="25">
        <f>O178</f>
        <v>1048576</v>
      </c>
      <c r="P203" s="25">
        <f>P178</f>
        <v>1048576</v>
      </c>
      <c r="R203" s="2"/>
      <c r="S203" s="25">
        <f>1024*1024</f>
        <v>1048576</v>
      </c>
      <c r="T203" s="25">
        <f>1024*1024</f>
        <v>1048576</v>
      </c>
      <c r="U203" s="25">
        <f>1024*1024</f>
        <v>1048576</v>
      </c>
      <c r="V203" s="25"/>
      <c r="W203" s="25"/>
    </row>
    <row r="204" spans="1:23" ht="15.75">
      <c r="A204" s="67"/>
      <c r="B204" s="67"/>
      <c r="C204" s="2"/>
      <c r="D204" s="67"/>
      <c r="L204" s="25"/>
      <c r="M204" s="25"/>
      <c r="N204" s="25"/>
      <c r="P204" s="25"/>
      <c r="R204" s="100"/>
      <c r="S204" s="25"/>
      <c r="T204" s="25"/>
      <c r="U204" s="25"/>
      <c r="V204" s="25"/>
      <c r="W204" s="25"/>
    </row>
    <row r="205" spans="1:23" ht="15.75">
      <c r="A205" s="67" t="s">
        <v>167</v>
      </c>
      <c r="B205" s="67"/>
      <c r="C205" s="2"/>
      <c r="D205" s="67"/>
      <c r="H205" s="25">
        <f>3*931328+216667+48155</f>
        <v>3058806</v>
      </c>
      <c r="K205" s="25">
        <f>3*931328+216667+48155</f>
        <v>3058806</v>
      </c>
      <c r="L205" s="25">
        <f>3*931328+216667+50804</f>
        <v>3061455</v>
      </c>
      <c r="M205" s="25">
        <f>M180</f>
        <v>955416</v>
      </c>
      <c r="N205" s="25">
        <f>3*931328+216667+47280</f>
        <v>3057931</v>
      </c>
      <c r="O205" s="25">
        <f>O180</f>
        <v>958416</v>
      </c>
      <c r="P205" s="25">
        <f>P180</f>
        <v>999961</v>
      </c>
      <c r="R205" s="2"/>
      <c r="S205" s="25">
        <f>931328+46527</f>
        <v>977855</v>
      </c>
      <c r="T205" s="25">
        <f>3*931328+46527</f>
        <v>2840511</v>
      </c>
      <c r="U205" s="25">
        <f>U180</f>
        <v>977933</v>
      </c>
      <c r="V205" s="25"/>
      <c r="W205" s="25"/>
    </row>
    <row r="206" spans="1:23" ht="15.75">
      <c r="A206" s="87" t="s">
        <v>84</v>
      </c>
      <c r="C206" s="2"/>
      <c r="D206" s="47"/>
      <c r="H206" s="25" t="s">
        <v>89</v>
      </c>
      <c r="K206" s="25" t="s">
        <v>89</v>
      </c>
      <c r="L206" s="25" t="s">
        <v>89</v>
      </c>
      <c r="M206" s="25" t="s">
        <v>89</v>
      </c>
      <c r="N206" s="25" t="s">
        <v>89</v>
      </c>
      <c r="O206" s="25" t="s">
        <v>89</v>
      </c>
      <c r="P206" s="25" t="s">
        <v>89</v>
      </c>
      <c r="R206" s="2"/>
      <c r="S206" s="25" t="s">
        <v>89</v>
      </c>
      <c r="T206" s="25" t="s">
        <v>89</v>
      </c>
      <c r="U206" s="25" t="s">
        <v>89</v>
      </c>
      <c r="V206" s="25"/>
      <c r="W206" s="25"/>
    </row>
    <row r="207" spans="1:23" ht="15.75">
      <c r="A207" s="87" t="s">
        <v>169</v>
      </c>
      <c r="C207" s="25"/>
      <c r="D207" s="47"/>
      <c r="H207" s="25" t="s">
        <v>90</v>
      </c>
      <c r="K207" s="25" t="s">
        <v>90</v>
      </c>
      <c r="L207" s="25" t="s">
        <v>90</v>
      </c>
      <c r="M207" s="25" t="s">
        <v>303</v>
      </c>
      <c r="N207" s="25" t="s">
        <v>90</v>
      </c>
      <c r="O207" s="88" t="s">
        <v>303</v>
      </c>
      <c r="P207" s="88" t="s">
        <v>303</v>
      </c>
      <c r="Q207" s="88"/>
      <c r="R207" s="48"/>
      <c r="S207" s="88" t="s">
        <v>303</v>
      </c>
      <c r="T207" s="25" t="s">
        <v>90</v>
      </c>
      <c r="U207" s="88" t="s">
        <v>303</v>
      </c>
      <c r="V207" s="25"/>
      <c r="W207" s="25"/>
    </row>
    <row r="208" spans="1:23" ht="31.5">
      <c r="A208" s="87" t="s">
        <v>171</v>
      </c>
      <c r="C208" s="2"/>
      <c r="D208" s="47"/>
      <c r="L208" s="25"/>
      <c r="M208" s="25">
        <v>0</v>
      </c>
      <c r="N208" s="25"/>
      <c r="O208" s="25">
        <v>0</v>
      </c>
      <c r="P208" s="25">
        <v>0</v>
      </c>
      <c r="R208" s="2"/>
      <c r="S208" s="25"/>
      <c r="T208" s="25"/>
      <c r="U208" s="25"/>
      <c r="V208" s="25"/>
      <c r="W208" s="25"/>
    </row>
    <row r="209" spans="1:23" ht="31.5">
      <c r="A209" s="87" t="s">
        <v>305</v>
      </c>
      <c r="C209" s="2"/>
      <c r="D209" s="47"/>
      <c r="L209" s="25"/>
      <c r="M209" s="25"/>
      <c r="N209" s="25"/>
      <c r="P209" s="25"/>
      <c r="R209" s="2"/>
      <c r="S209" s="25"/>
      <c r="T209" s="25"/>
      <c r="U209" s="25"/>
      <c r="V209" s="25"/>
      <c r="W209" s="25"/>
    </row>
    <row r="210" spans="1:23" ht="31.5">
      <c r="A210" s="87" t="s">
        <v>306</v>
      </c>
      <c r="C210" s="2"/>
      <c r="D210" s="47"/>
      <c r="L210" s="25"/>
      <c r="M210" s="25"/>
      <c r="N210" s="25"/>
      <c r="P210" s="25"/>
      <c r="R210" s="2"/>
      <c r="S210" s="25"/>
      <c r="T210" s="25"/>
      <c r="U210" s="25"/>
      <c r="V210" s="25"/>
      <c r="W210" s="25"/>
    </row>
    <row r="211" spans="1:23" ht="15.75">
      <c r="A211" s="64" t="s">
        <v>315</v>
      </c>
      <c r="B211" s="64"/>
      <c r="C211" s="91"/>
      <c r="D211" s="64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91"/>
      <c r="S211" s="66"/>
      <c r="T211" s="66"/>
      <c r="U211" s="66"/>
      <c r="V211" s="66"/>
      <c r="W211" s="66"/>
    </row>
    <row r="212" spans="1:23" ht="15.75">
      <c r="A212" s="82" t="s">
        <v>137</v>
      </c>
      <c r="C212" s="2"/>
      <c r="D212" s="47"/>
      <c r="H212" s="25">
        <v>6</v>
      </c>
      <c r="K212" s="25">
        <v>6</v>
      </c>
      <c r="L212" s="25">
        <v>6</v>
      </c>
      <c r="M212" s="25">
        <v>255</v>
      </c>
      <c r="N212" s="25">
        <v>6</v>
      </c>
      <c r="O212" s="48"/>
      <c r="Q212" s="48"/>
      <c r="R212" s="2"/>
      <c r="S212" s="25">
        <v>6</v>
      </c>
      <c r="T212" s="25">
        <v>6</v>
      </c>
      <c r="U212" s="25">
        <v>6</v>
      </c>
      <c r="V212" s="25"/>
      <c r="W212" s="25"/>
    </row>
    <row r="213" spans="1:23" ht="15.75">
      <c r="A213" s="67" t="s">
        <v>300</v>
      </c>
      <c r="B213" s="82"/>
      <c r="C213" s="2"/>
      <c r="D213" s="82"/>
      <c r="H213" s="25">
        <v>1</v>
      </c>
      <c r="K213" s="25">
        <v>1</v>
      </c>
      <c r="L213" s="25">
        <v>1</v>
      </c>
      <c r="M213" s="25">
        <v>255</v>
      </c>
      <c r="N213" s="25">
        <v>1</v>
      </c>
      <c r="O213" s="48"/>
      <c r="Q213" s="48"/>
      <c r="R213" s="2"/>
      <c r="S213" s="25">
        <v>1</v>
      </c>
      <c r="T213" s="25">
        <v>1</v>
      </c>
      <c r="U213" s="25">
        <v>1</v>
      </c>
      <c r="V213" s="25"/>
      <c r="W213" s="25"/>
    </row>
    <row r="214" spans="1:23" ht="15.75">
      <c r="A214" s="67" t="s">
        <v>138</v>
      </c>
      <c r="C214" s="2"/>
      <c r="D214" s="47"/>
      <c r="H214" s="25">
        <v>1</v>
      </c>
      <c r="K214" s="25">
        <v>1</v>
      </c>
      <c r="L214" s="25">
        <v>1</v>
      </c>
      <c r="M214" s="25">
        <v>0</v>
      </c>
      <c r="N214" s="25">
        <v>1</v>
      </c>
      <c r="O214" s="48"/>
      <c r="Q214" s="48"/>
      <c r="R214" s="2"/>
      <c r="S214" s="25">
        <v>1</v>
      </c>
      <c r="T214" s="25">
        <v>1</v>
      </c>
      <c r="U214" s="25">
        <v>1</v>
      </c>
      <c r="V214" s="25"/>
      <c r="W214" s="25"/>
    </row>
    <row r="215" spans="1:23" ht="15.75">
      <c r="A215" s="67" t="s">
        <v>139</v>
      </c>
      <c r="C215" s="2"/>
      <c r="D215" s="47"/>
      <c r="H215" s="25" t="s">
        <v>102</v>
      </c>
      <c r="K215" s="25" t="s">
        <v>102</v>
      </c>
      <c r="L215" s="25" t="s">
        <v>102</v>
      </c>
      <c r="M215" s="25" t="s">
        <v>140</v>
      </c>
      <c r="N215" s="25" t="s">
        <v>102</v>
      </c>
      <c r="O215" s="48"/>
      <c r="Q215" s="48"/>
      <c r="R215" s="2"/>
      <c r="S215" s="25" t="s">
        <v>102</v>
      </c>
      <c r="T215" s="25" t="s">
        <v>102</v>
      </c>
      <c r="U215" s="25" t="s">
        <v>102</v>
      </c>
      <c r="V215" s="25"/>
      <c r="W215" s="25"/>
    </row>
    <row r="216" spans="1:23" ht="15.75">
      <c r="A216" s="67" t="s">
        <v>141</v>
      </c>
      <c r="C216" s="30"/>
      <c r="D216" s="47"/>
      <c r="E216" s="83"/>
      <c r="F216" s="84"/>
      <c r="G216" s="84"/>
      <c r="H216" s="84">
        <f>2/3</f>
        <v>0.6666666666666666</v>
      </c>
      <c r="I216" s="84"/>
      <c r="J216" s="84"/>
      <c r="K216" s="84">
        <f>2/3</f>
        <v>0.6666666666666666</v>
      </c>
      <c r="L216" s="84">
        <f>2/3</f>
        <v>0.6666666666666666</v>
      </c>
      <c r="M216" s="84">
        <f>3/4</f>
        <v>0.75</v>
      </c>
      <c r="N216" s="84">
        <f>2/3</f>
        <v>0.6666666666666666</v>
      </c>
      <c r="O216" s="48"/>
      <c r="Q216" s="48"/>
      <c r="R216" s="99"/>
      <c r="S216" s="84">
        <f>2/3</f>
        <v>0.6666666666666666</v>
      </c>
      <c r="T216" s="84">
        <f>2/3</f>
        <v>0.6666666666666666</v>
      </c>
      <c r="U216" s="84">
        <f>2/3</f>
        <v>0.6666666666666666</v>
      </c>
      <c r="V216" s="84"/>
      <c r="W216" s="84"/>
    </row>
    <row r="217" spans="1:23" ht="15.75">
      <c r="A217" s="67" t="s">
        <v>147</v>
      </c>
      <c r="C217" s="2"/>
      <c r="D217" s="47"/>
      <c r="H217" s="25">
        <v>16200</v>
      </c>
      <c r="K217" s="25">
        <v>16200</v>
      </c>
      <c r="L217" s="25">
        <v>16200</v>
      </c>
      <c r="M217" s="25">
        <v>64800</v>
      </c>
      <c r="N217" s="25">
        <v>16200</v>
      </c>
      <c r="O217" s="48"/>
      <c r="Q217" s="48"/>
      <c r="R217" s="2"/>
      <c r="S217" s="25">
        <v>16200</v>
      </c>
      <c r="T217" s="25">
        <v>16200</v>
      </c>
      <c r="U217" s="25">
        <v>16200</v>
      </c>
      <c r="V217" s="25"/>
      <c r="W217" s="25"/>
    </row>
    <row r="218" spans="1:23" ht="15.75">
      <c r="A218" s="67" t="s">
        <v>148</v>
      </c>
      <c r="C218" s="2"/>
      <c r="D218" s="47"/>
      <c r="H218" s="25" t="s">
        <v>89</v>
      </c>
      <c r="K218" s="25" t="s">
        <v>89</v>
      </c>
      <c r="L218" s="25" t="s">
        <v>89</v>
      </c>
      <c r="M218" s="25" t="s">
        <v>89</v>
      </c>
      <c r="N218" s="25" t="s">
        <v>89</v>
      </c>
      <c r="O218" s="48"/>
      <c r="Q218" s="48"/>
      <c r="R218" s="2"/>
      <c r="S218" s="25" t="s">
        <v>89</v>
      </c>
      <c r="T218" s="25" t="s">
        <v>89</v>
      </c>
      <c r="U218" s="25" t="s">
        <v>89</v>
      </c>
      <c r="V218" s="25"/>
      <c r="W218" s="25"/>
    </row>
    <row r="219" spans="1:23" ht="15.75">
      <c r="A219" s="67" t="s">
        <v>149</v>
      </c>
      <c r="B219" s="49"/>
      <c r="C219" s="2"/>
      <c r="D219" s="49"/>
      <c r="H219" s="25">
        <v>12</v>
      </c>
      <c r="K219" s="25">
        <v>12</v>
      </c>
      <c r="L219" s="25">
        <v>12</v>
      </c>
      <c r="M219" s="25" t="s">
        <v>301</v>
      </c>
      <c r="N219" s="25">
        <v>12</v>
      </c>
      <c r="O219" s="48"/>
      <c r="Q219" s="48"/>
      <c r="R219" s="2"/>
      <c r="S219" s="25">
        <v>3</v>
      </c>
      <c r="T219" s="25">
        <v>12</v>
      </c>
      <c r="U219" s="25">
        <v>3</v>
      </c>
      <c r="V219" s="25"/>
      <c r="W219" s="25"/>
    </row>
    <row r="220" spans="1:23" ht="15.75">
      <c r="A220" s="67" t="s">
        <v>151</v>
      </c>
      <c r="C220" s="2"/>
      <c r="D220" s="47"/>
      <c r="H220" s="25">
        <v>12</v>
      </c>
      <c r="K220" s="25">
        <v>12</v>
      </c>
      <c r="L220" s="25">
        <v>12</v>
      </c>
      <c r="M220" s="25">
        <v>13</v>
      </c>
      <c r="N220" s="25">
        <v>12</v>
      </c>
      <c r="O220" s="48"/>
      <c r="Q220" s="48"/>
      <c r="R220" s="2"/>
      <c r="S220" s="25">
        <v>3</v>
      </c>
      <c r="T220" s="25">
        <v>12</v>
      </c>
      <c r="U220" s="25">
        <v>3</v>
      </c>
      <c r="V220" s="25"/>
      <c r="W220" s="25"/>
    </row>
    <row r="221" spans="1:23" ht="15.75">
      <c r="A221" s="67" t="s">
        <v>153</v>
      </c>
      <c r="B221" s="49"/>
      <c r="C221" s="2"/>
      <c r="D221" s="49"/>
      <c r="H221" s="25">
        <v>1</v>
      </c>
      <c r="K221" s="25">
        <v>1</v>
      </c>
      <c r="L221" s="25">
        <v>1</v>
      </c>
      <c r="M221" s="25">
        <v>1</v>
      </c>
      <c r="N221" s="25">
        <v>1</v>
      </c>
      <c r="O221" s="48"/>
      <c r="Q221" s="48"/>
      <c r="R221" s="2"/>
      <c r="S221" s="25">
        <v>1</v>
      </c>
      <c r="T221" s="25">
        <v>1</v>
      </c>
      <c r="U221" s="25">
        <v>1</v>
      </c>
      <c r="V221" s="25"/>
      <c r="W221" s="25"/>
    </row>
    <row r="222" spans="1:23" ht="15.75">
      <c r="A222" s="67" t="s">
        <v>155</v>
      </c>
      <c r="B222" s="49"/>
      <c r="C222" s="2"/>
      <c r="D222" s="49"/>
      <c r="H222" s="25">
        <v>1</v>
      </c>
      <c r="K222" s="25">
        <v>1</v>
      </c>
      <c r="L222" s="25">
        <v>1</v>
      </c>
      <c r="M222" s="25">
        <v>1</v>
      </c>
      <c r="N222" s="25">
        <v>1</v>
      </c>
      <c r="O222" s="48"/>
      <c r="Q222" s="48"/>
      <c r="R222" s="2"/>
      <c r="S222" s="25">
        <v>1</v>
      </c>
      <c r="T222" s="25">
        <v>1</v>
      </c>
      <c r="U222" s="25">
        <v>1</v>
      </c>
      <c r="V222" s="25"/>
      <c r="W222" s="25"/>
    </row>
    <row r="223" spans="1:23" ht="15.75">
      <c r="A223" s="67" t="s">
        <v>156</v>
      </c>
      <c r="C223" s="2"/>
      <c r="D223" s="47"/>
      <c r="H223" s="25">
        <v>4</v>
      </c>
      <c r="K223" s="25">
        <v>4</v>
      </c>
      <c r="L223" s="25">
        <v>4</v>
      </c>
      <c r="M223" s="25">
        <v>1</v>
      </c>
      <c r="N223" s="25">
        <v>4</v>
      </c>
      <c r="O223" s="48"/>
      <c r="Q223" s="48"/>
      <c r="R223" s="2"/>
      <c r="S223" s="25">
        <v>1</v>
      </c>
      <c r="T223" s="25">
        <v>4</v>
      </c>
      <c r="U223" s="25">
        <v>1</v>
      </c>
      <c r="V223" s="25"/>
      <c r="W223" s="25"/>
    </row>
    <row r="224" spans="1:23" ht="15.75">
      <c r="A224" s="67" t="s">
        <v>302</v>
      </c>
      <c r="B224" s="67"/>
      <c r="C224" s="2"/>
      <c r="D224" s="67"/>
      <c r="H224" s="25">
        <v>2</v>
      </c>
      <c r="K224" s="25">
        <v>2</v>
      </c>
      <c r="L224" s="25">
        <v>2</v>
      </c>
      <c r="M224" s="25">
        <v>0</v>
      </c>
      <c r="N224" s="25">
        <v>2</v>
      </c>
      <c r="O224" s="48"/>
      <c r="Q224" s="48"/>
      <c r="R224" s="2"/>
      <c r="S224" s="25">
        <v>0</v>
      </c>
      <c r="T224" s="25">
        <v>2</v>
      </c>
      <c r="U224" s="25">
        <v>0</v>
      </c>
      <c r="V224" s="25"/>
      <c r="W224" s="25"/>
    </row>
    <row r="225" spans="1:23" ht="15.75">
      <c r="A225" s="85" t="s">
        <v>159</v>
      </c>
      <c r="B225" s="64"/>
      <c r="C225" s="91"/>
      <c r="D225" s="64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48"/>
      <c r="Q225" s="48"/>
      <c r="R225" s="91"/>
      <c r="S225" s="66"/>
      <c r="T225" s="66"/>
      <c r="U225" s="66"/>
      <c r="V225" s="66"/>
      <c r="W225" s="66"/>
    </row>
    <row r="226" spans="1:23" ht="15.75">
      <c r="A226" s="67" t="s">
        <v>160</v>
      </c>
      <c r="C226" s="2"/>
      <c r="D226" s="47"/>
      <c r="H226" s="25" t="s">
        <v>161</v>
      </c>
      <c r="K226" s="25" t="s">
        <v>161</v>
      </c>
      <c r="L226" s="25" t="s">
        <v>161</v>
      </c>
      <c r="M226" s="25" t="s">
        <v>161</v>
      </c>
      <c r="N226" s="25" t="s">
        <v>161</v>
      </c>
      <c r="O226" s="48"/>
      <c r="Q226" s="48"/>
      <c r="R226" s="2"/>
      <c r="S226" s="25" t="s">
        <v>161</v>
      </c>
      <c r="T226" s="25" t="s">
        <v>161</v>
      </c>
      <c r="U226" s="25" t="s">
        <v>161</v>
      </c>
      <c r="V226" s="25"/>
      <c r="W226" s="25"/>
    </row>
    <row r="227" spans="1:23" ht="15.75">
      <c r="A227" s="67" t="s">
        <v>164</v>
      </c>
      <c r="C227" s="2"/>
      <c r="D227" s="47"/>
      <c r="H227" s="25" t="s">
        <v>89</v>
      </c>
      <c r="K227" s="25" t="s">
        <v>89</v>
      </c>
      <c r="L227" s="25" t="s">
        <v>89</v>
      </c>
      <c r="M227" s="25" t="s">
        <v>89</v>
      </c>
      <c r="N227" s="25" t="s">
        <v>89</v>
      </c>
      <c r="O227" s="48"/>
      <c r="Q227" s="48"/>
      <c r="R227" s="2"/>
      <c r="S227" s="25" t="s">
        <v>89</v>
      </c>
      <c r="T227" s="25" t="s">
        <v>89</v>
      </c>
      <c r="U227" s="25" t="s">
        <v>89</v>
      </c>
      <c r="V227" s="25"/>
      <c r="W227" s="25"/>
    </row>
    <row r="228" spans="1:23" ht="15.75">
      <c r="A228" s="67" t="s">
        <v>166</v>
      </c>
      <c r="B228" s="67"/>
      <c r="C228" s="2"/>
      <c r="D228" s="67"/>
      <c r="H228" s="25">
        <f>1024*1024</f>
        <v>1048576</v>
      </c>
      <c r="K228" s="25">
        <f>1024*1024</f>
        <v>1048576</v>
      </c>
      <c r="L228" s="25">
        <f>1024*1024</f>
        <v>1048576</v>
      </c>
      <c r="M228" s="25">
        <f>1024*1024</f>
        <v>1048576</v>
      </c>
      <c r="N228" s="25">
        <f>1024*1024</f>
        <v>1048576</v>
      </c>
      <c r="O228" s="48"/>
      <c r="Q228" s="48"/>
      <c r="R228" s="2"/>
      <c r="S228" s="25">
        <f>1024*1024</f>
        <v>1048576</v>
      </c>
      <c r="T228" s="25">
        <f>1024*1024</f>
        <v>1048576</v>
      </c>
      <c r="U228" s="25">
        <f>1024*1024</f>
        <v>1048576</v>
      </c>
      <c r="V228" s="25"/>
      <c r="W228" s="25"/>
    </row>
    <row r="229" spans="1:23" ht="15.75">
      <c r="A229" s="67"/>
      <c r="B229" s="67"/>
      <c r="C229" s="100"/>
      <c r="D229" s="67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48"/>
      <c r="Q229" s="48"/>
      <c r="R229" s="100"/>
      <c r="S229" s="86"/>
      <c r="T229" s="86"/>
      <c r="U229" s="86"/>
      <c r="V229" s="86"/>
      <c r="W229" s="86"/>
    </row>
    <row r="230" spans="1:23" ht="15.75">
      <c r="A230" s="67" t="s">
        <v>167</v>
      </c>
      <c r="B230" s="67"/>
      <c r="C230" s="2"/>
      <c r="D230" s="67"/>
      <c r="H230" s="25">
        <f>2*931328+216667+48155</f>
        <v>2127478</v>
      </c>
      <c r="K230" s="25">
        <f>2*931328+216667+48155</f>
        <v>2127478</v>
      </c>
      <c r="L230" s="25">
        <f>2*931328+216667+50804</f>
        <v>2130127</v>
      </c>
      <c r="M230" s="25">
        <f>M205</f>
        <v>955416</v>
      </c>
      <c r="N230" s="25">
        <f>2*931328+216667+47280</f>
        <v>2126603</v>
      </c>
      <c r="O230" s="48"/>
      <c r="Q230" s="48"/>
      <c r="R230" s="2"/>
      <c r="S230" s="25">
        <f>931328+46527</f>
        <v>977855</v>
      </c>
      <c r="T230" s="25">
        <f>2*931328+46527</f>
        <v>1909183</v>
      </c>
      <c r="U230" s="25">
        <f>U205</f>
        <v>977933</v>
      </c>
      <c r="V230" s="25"/>
      <c r="W230" s="25"/>
    </row>
    <row r="231" spans="1:23" ht="15.75">
      <c r="A231" s="87" t="s">
        <v>84</v>
      </c>
      <c r="C231" s="24"/>
      <c r="D231" s="47"/>
      <c r="E231" s="81"/>
      <c r="H231" s="25" t="s">
        <v>89</v>
      </c>
      <c r="K231" s="25" t="s">
        <v>89</v>
      </c>
      <c r="L231" s="25" t="s">
        <v>89</v>
      </c>
      <c r="M231" s="25" t="s">
        <v>89</v>
      </c>
      <c r="N231" s="25" t="s">
        <v>89</v>
      </c>
      <c r="O231" s="48"/>
      <c r="Q231" s="48"/>
      <c r="R231" s="2"/>
      <c r="S231" s="25" t="s">
        <v>89</v>
      </c>
      <c r="T231" s="25" t="s">
        <v>89</v>
      </c>
      <c r="U231" s="25" t="s">
        <v>89</v>
      </c>
      <c r="V231" s="25"/>
      <c r="W231" s="25"/>
    </row>
    <row r="232" spans="1:23" ht="15.75">
      <c r="A232" s="87" t="s">
        <v>169</v>
      </c>
      <c r="C232" s="25"/>
      <c r="D232" s="47"/>
      <c r="E232" s="81"/>
      <c r="H232" s="25" t="s">
        <v>90</v>
      </c>
      <c r="K232" s="25" t="s">
        <v>90</v>
      </c>
      <c r="L232" s="25" t="s">
        <v>90</v>
      </c>
      <c r="M232" s="25" t="s">
        <v>303</v>
      </c>
      <c r="N232" s="25" t="s">
        <v>90</v>
      </c>
      <c r="O232" s="48"/>
      <c r="Q232" s="48"/>
      <c r="R232" s="48"/>
      <c r="S232" s="25" t="s">
        <v>303</v>
      </c>
      <c r="T232" s="25" t="s">
        <v>90</v>
      </c>
      <c r="U232" s="25" t="s">
        <v>303</v>
      </c>
      <c r="V232" s="25"/>
      <c r="W232" s="25"/>
    </row>
    <row r="233" spans="1:23" ht="31.5">
      <c r="A233" s="87" t="s">
        <v>171</v>
      </c>
      <c r="C233" s="24"/>
      <c r="D233" s="47"/>
      <c r="E233" s="88"/>
      <c r="L233" s="25"/>
      <c r="M233" s="25">
        <v>0</v>
      </c>
      <c r="N233" s="25"/>
      <c r="O233" s="48"/>
      <c r="Q233" s="48"/>
      <c r="R233" s="2"/>
      <c r="S233" s="25"/>
      <c r="T233" s="25"/>
      <c r="U233" s="25"/>
      <c r="V233" s="25"/>
      <c r="W233" s="25"/>
    </row>
    <row r="234" spans="1:23" ht="31.5">
      <c r="A234" s="87" t="s">
        <v>305</v>
      </c>
      <c r="C234" s="2"/>
      <c r="D234" s="47"/>
      <c r="L234" s="25"/>
      <c r="M234" s="25"/>
      <c r="N234" s="25"/>
      <c r="O234" s="48"/>
      <c r="Q234" s="48"/>
      <c r="R234" s="2"/>
      <c r="S234" s="25"/>
      <c r="T234" s="25"/>
      <c r="U234" s="25"/>
      <c r="V234" s="25"/>
      <c r="W234" s="25"/>
    </row>
    <row r="235" spans="1:23" ht="31.5">
      <c r="A235" s="87" t="s">
        <v>306</v>
      </c>
      <c r="C235" s="2"/>
      <c r="D235" s="47"/>
      <c r="L235" s="25"/>
      <c r="M235" s="25"/>
      <c r="N235" s="25"/>
      <c r="O235" s="48"/>
      <c r="Q235" s="48"/>
      <c r="R235" s="2"/>
      <c r="S235" s="25"/>
      <c r="T235" s="25"/>
      <c r="U235" s="25"/>
      <c r="V235" s="25"/>
      <c r="W235" s="25"/>
    </row>
    <row r="236" spans="1:23" ht="15.75">
      <c r="A236" s="64" t="s">
        <v>316</v>
      </c>
      <c r="B236" s="64"/>
      <c r="C236" s="91"/>
      <c r="D236" s="64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48"/>
      <c r="Q236" s="48"/>
      <c r="R236" s="91"/>
      <c r="S236" s="66"/>
      <c r="T236" s="66"/>
      <c r="U236" s="66"/>
      <c r="V236" s="66"/>
      <c r="W236" s="66"/>
    </row>
    <row r="237" spans="1:23" ht="15.75">
      <c r="A237" s="82" t="s">
        <v>137</v>
      </c>
      <c r="C237" s="2"/>
      <c r="D237" s="47"/>
      <c r="H237" s="25">
        <v>7</v>
      </c>
      <c r="K237" s="25">
        <v>7</v>
      </c>
      <c r="L237" s="25">
        <v>7</v>
      </c>
      <c r="M237" s="25"/>
      <c r="N237" s="25">
        <v>7</v>
      </c>
      <c r="O237" s="48"/>
      <c r="Q237" s="48"/>
      <c r="R237" s="2"/>
      <c r="S237" s="25">
        <v>7</v>
      </c>
      <c r="T237" s="25">
        <v>7</v>
      </c>
      <c r="U237" s="25">
        <v>7</v>
      </c>
      <c r="V237" s="25"/>
      <c r="W237" s="25"/>
    </row>
    <row r="238" spans="1:23" ht="15.75">
      <c r="A238" s="67" t="s">
        <v>300</v>
      </c>
      <c r="B238" s="82"/>
      <c r="C238" s="2"/>
      <c r="D238" s="82"/>
      <c r="H238" s="25">
        <v>1</v>
      </c>
      <c r="K238" s="25">
        <v>1</v>
      </c>
      <c r="L238" s="25">
        <v>1</v>
      </c>
      <c r="M238" s="25"/>
      <c r="N238" s="25">
        <v>1</v>
      </c>
      <c r="O238" s="48"/>
      <c r="Q238" s="48"/>
      <c r="R238" s="2"/>
      <c r="S238" s="25">
        <v>1</v>
      </c>
      <c r="T238" s="25">
        <v>1</v>
      </c>
      <c r="U238" s="25">
        <v>1</v>
      </c>
      <c r="V238" s="25"/>
      <c r="W238" s="25"/>
    </row>
    <row r="239" spans="1:23" ht="15.75">
      <c r="A239" s="67" t="s">
        <v>138</v>
      </c>
      <c r="C239" s="2"/>
      <c r="D239" s="47"/>
      <c r="H239" s="25">
        <v>1</v>
      </c>
      <c r="K239" s="25">
        <v>1</v>
      </c>
      <c r="L239" s="25">
        <v>1</v>
      </c>
      <c r="M239" s="25"/>
      <c r="N239" s="25">
        <v>1</v>
      </c>
      <c r="O239" s="48"/>
      <c r="Q239" s="48"/>
      <c r="R239" s="2"/>
      <c r="S239" s="25">
        <v>1</v>
      </c>
      <c r="T239" s="25">
        <v>1</v>
      </c>
      <c r="U239" s="25">
        <v>1</v>
      </c>
      <c r="V239" s="25"/>
      <c r="W239" s="25"/>
    </row>
    <row r="240" spans="1:23" ht="15.75">
      <c r="A240" s="67" t="s">
        <v>139</v>
      </c>
      <c r="C240" s="2"/>
      <c r="D240" s="47"/>
      <c r="H240" s="25" t="s">
        <v>102</v>
      </c>
      <c r="K240" s="25" t="s">
        <v>102</v>
      </c>
      <c r="L240" s="25" t="s">
        <v>102</v>
      </c>
      <c r="M240" s="25"/>
      <c r="N240" s="25" t="s">
        <v>102</v>
      </c>
      <c r="O240" s="48"/>
      <c r="Q240" s="48"/>
      <c r="R240" s="2"/>
      <c r="S240" s="25" t="s">
        <v>102</v>
      </c>
      <c r="T240" s="25" t="s">
        <v>102</v>
      </c>
      <c r="U240" s="25" t="s">
        <v>102</v>
      </c>
      <c r="V240" s="25"/>
      <c r="W240" s="25"/>
    </row>
    <row r="241" spans="1:23" ht="15.75">
      <c r="A241" s="67" t="s">
        <v>141</v>
      </c>
      <c r="C241" s="30"/>
      <c r="D241" s="47"/>
      <c r="E241" s="83"/>
      <c r="F241" s="84"/>
      <c r="G241" s="84"/>
      <c r="H241" s="84">
        <f>2/3</f>
        <v>0.6666666666666666</v>
      </c>
      <c r="I241" s="84"/>
      <c r="J241" s="84"/>
      <c r="K241" s="84">
        <f>2/3</f>
        <v>0.6666666666666666</v>
      </c>
      <c r="L241" s="84">
        <f>2/3</f>
        <v>0.6666666666666666</v>
      </c>
      <c r="M241" s="84"/>
      <c r="N241" s="84">
        <f>2/3</f>
        <v>0.6666666666666666</v>
      </c>
      <c r="O241" s="48"/>
      <c r="Q241" s="48"/>
      <c r="R241" s="99"/>
      <c r="S241" s="84">
        <f>2/3</f>
        <v>0.6666666666666666</v>
      </c>
      <c r="T241" s="84">
        <f>2/3</f>
        <v>0.6666666666666666</v>
      </c>
      <c r="U241" s="84">
        <f>2/3</f>
        <v>0.6666666666666666</v>
      </c>
      <c r="V241" s="84"/>
      <c r="W241" s="84"/>
    </row>
    <row r="242" spans="1:23" ht="15.75">
      <c r="A242" s="67" t="s">
        <v>147</v>
      </c>
      <c r="C242" s="2"/>
      <c r="D242" s="47"/>
      <c r="H242" s="25">
        <v>16200</v>
      </c>
      <c r="K242" s="25">
        <v>16200</v>
      </c>
      <c r="L242" s="25">
        <v>16200</v>
      </c>
      <c r="M242" s="25"/>
      <c r="N242" s="25">
        <v>16200</v>
      </c>
      <c r="O242" s="48"/>
      <c r="Q242" s="48"/>
      <c r="R242" s="2"/>
      <c r="S242" s="25">
        <v>16200</v>
      </c>
      <c r="T242" s="25">
        <v>16200</v>
      </c>
      <c r="U242" s="25">
        <v>16200</v>
      </c>
      <c r="V242" s="25"/>
      <c r="W242" s="25"/>
    </row>
    <row r="243" spans="1:23" ht="15.75">
      <c r="A243" s="67" t="s">
        <v>148</v>
      </c>
      <c r="C243" s="2"/>
      <c r="D243" s="47"/>
      <c r="H243" s="25" t="s">
        <v>89</v>
      </c>
      <c r="K243" s="25" t="s">
        <v>89</v>
      </c>
      <c r="L243" s="25" t="s">
        <v>89</v>
      </c>
      <c r="M243" s="25"/>
      <c r="N243" s="25" t="s">
        <v>89</v>
      </c>
      <c r="O243" s="48"/>
      <c r="Q243" s="48"/>
      <c r="R243" s="2"/>
      <c r="S243" s="25" t="s">
        <v>89</v>
      </c>
      <c r="T243" s="25" t="s">
        <v>89</v>
      </c>
      <c r="U243" s="25" t="s">
        <v>89</v>
      </c>
      <c r="V243" s="25"/>
      <c r="W243" s="25"/>
    </row>
    <row r="244" spans="1:23" ht="15.75">
      <c r="A244" s="67" t="s">
        <v>149</v>
      </c>
      <c r="B244" s="49"/>
      <c r="C244" s="2"/>
      <c r="D244" s="49"/>
      <c r="H244" s="25">
        <v>12</v>
      </c>
      <c r="K244" s="25">
        <v>12</v>
      </c>
      <c r="L244" s="25">
        <v>12</v>
      </c>
      <c r="M244" s="25"/>
      <c r="N244" s="25">
        <v>12</v>
      </c>
      <c r="O244" s="48"/>
      <c r="Q244" s="48"/>
      <c r="R244" s="2"/>
      <c r="S244" s="25">
        <v>3</v>
      </c>
      <c r="T244" s="25">
        <v>12</v>
      </c>
      <c r="U244" s="25">
        <v>3</v>
      </c>
      <c r="V244" s="25"/>
      <c r="W244" s="25"/>
    </row>
    <row r="245" spans="1:23" ht="15.75">
      <c r="A245" s="67" t="s">
        <v>151</v>
      </c>
      <c r="C245" s="2"/>
      <c r="D245" s="47"/>
      <c r="H245" s="25">
        <v>12</v>
      </c>
      <c r="K245" s="25">
        <v>12</v>
      </c>
      <c r="L245" s="25">
        <v>12</v>
      </c>
      <c r="M245" s="25"/>
      <c r="N245" s="25">
        <v>12</v>
      </c>
      <c r="O245" s="48"/>
      <c r="Q245" s="48"/>
      <c r="R245" s="2"/>
      <c r="S245" s="25">
        <v>3</v>
      </c>
      <c r="T245" s="25">
        <v>12</v>
      </c>
      <c r="U245" s="25">
        <v>3</v>
      </c>
      <c r="V245" s="25"/>
      <c r="W245" s="25"/>
    </row>
    <row r="246" spans="1:23" ht="15.75">
      <c r="A246" s="67" t="s">
        <v>153</v>
      </c>
      <c r="B246" s="49"/>
      <c r="C246" s="2"/>
      <c r="D246" s="49"/>
      <c r="H246" s="25">
        <v>1</v>
      </c>
      <c r="K246" s="25">
        <v>1</v>
      </c>
      <c r="L246" s="25">
        <v>1</v>
      </c>
      <c r="M246" s="25"/>
      <c r="N246" s="25">
        <v>1</v>
      </c>
      <c r="O246" s="48"/>
      <c r="Q246" s="48"/>
      <c r="R246" s="2"/>
      <c r="S246" s="25">
        <v>1</v>
      </c>
      <c r="T246" s="25">
        <v>1</v>
      </c>
      <c r="U246" s="25">
        <v>1</v>
      </c>
      <c r="V246" s="25"/>
      <c r="W246" s="25"/>
    </row>
    <row r="247" spans="1:23" ht="15.75">
      <c r="A247" s="67" t="s">
        <v>155</v>
      </c>
      <c r="B247" s="49"/>
      <c r="C247" s="2"/>
      <c r="D247" s="49"/>
      <c r="H247" s="25">
        <v>1</v>
      </c>
      <c r="K247" s="25">
        <v>1</v>
      </c>
      <c r="L247" s="25">
        <v>1</v>
      </c>
      <c r="M247" s="25"/>
      <c r="N247" s="25">
        <v>1</v>
      </c>
      <c r="O247" s="48"/>
      <c r="Q247" s="48"/>
      <c r="R247" s="2"/>
      <c r="S247" s="25">
        <v>1</v>
      </c>
      <c r="T247" s="25">
        <v>1</v>
      </c>
      <c r="U247" s="25">
        <v>1</v>
      </c>
      <c r="V247" s="25"/>
      <c r="W247" s="25"/>
    </row>
    <row r="248" spans="1:23" ht="15.75">
      <c r="A248" s="67" t="s">
        <v>156</v>
      </c>
      <c r="C248" s="2"/>
      <c r="D248" s="47"/>
      <c r="H248" s="25">
        <v>4</v>
      </c>
      <c r="K248" s="25">
        <v>4</v>
      </c>
      <c r="L248" s="25">
        <v>4</v>
      </c>
      <c r="M248" s="25"/>
      <c r="N248" s="25">
        <v>4</v>
      </c>
      <c r="O248" s="48"/>
      <c r="Q248" s="48"/>
      <c r="R248" s="2"/>
      <c r="S248" s="25">
        <v>1</v>
      </c>
      <c r="T248" s="25">
        <v>4</v>
      </c>
      <c r="U248" s="25">
        <v>1</v>
      </c>
      <c r="V248" s="25"/>
      <c r="W248" s="25"/>
    </row>
    <row r="249" spans="1:23" ht="15.75">
      <c r="A249" s="67" t="s">
        <v>302</v>
      </c>
      <c r="B249" s="67"/>
      <c r="C249" s="2"/>
      <c r="D249" s="67"/>
      <c r="H249" s="25">
        <v>3</v>
      </c>
      <c r="K249" s="25">
        <v>3</v>
      </c>
      <c r="L249" s="25">
        <v>3</v>
      </c>
      <c r="M249" s="25"/>
      <c r="N249" s="25">
        <v>3</v>
      </c>
      <c r="O249" s="48"/>
      <c r="Q249" s="48"/>
      <c r="R249" s="2"/>
      <c r="S249" s="25">
        <v>0</v>
      </c>
      <c r="T249" s="25">
        <v>3</v>
      </c>
      <c r="U249" s="25">
        <v>0</v>
      </c>
      <c r="V249" s="25"/>
      <c r="W249" s="25"/>
    </row>
    <row r="250" spans="1:23" ht="15.75">
      <c r="A250" s="85" t="s">
        <v>159</v>
      </c>
      <c r="B250" s="64"/>
      <c r="C250" s="91"/>
      <c r="D250" s="64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48"/>
      <c r="Q250" s="48"/>
      <c r="R250" s="91"/>
      <c r="S250" s="66"/>
      <c r="T250" s="66"/>
      <c r="U250" s="66"/>
      <c r="V250" s="66"/>
      <c r="W250" s="66"/>
    </row>
    <row r="251" spans="1:23" ht="15.75">
      <c r="A251" s="67" t="s">
        <v>160</v>
      </c>
      <c r="C251" s="2"/>
      <c r="D251" s="47"/>
      <c r="H251" s="25" t="s">
        <v>161</v>
      </c>
      <c r="K251" s="25" t="s">
        <v>161</v>
      </c>
      <c r="L251" s="25" t="s">
        <v>161</v>
      </c>
      <c r="M251" s="25"/>
      <c r="N251" s="25" t="s">
        <v>161</v>
      </c>
      <c r="O251" s="48"/>
      <c r="Q251" s="48"/>
      <c r="R251" s="2"/>
      <c r="S251" s="25" t="s">
        <v>161</v>
      </c>
      <c r="T251" s="25" t="s">
        <v>161</v>
      </c>
      <c r="U251" s="25" t="s">
        <v>161</v>
      </c>
      <c r="V251" s="25"/>
      <c r="W251" s="25"/>
    </row>
    <row r="252" spans="1:23" ht="15.75">
      <c r="A252" s="67" t="s">
        <v>164</v>
      </c>
      <c r="C252" s="2"/>
      <c r="D252" s="47"/>
      <c r="H252" s="25" t="s">
        <v>89</v>
      </c>
      <c r="K252" s="25" t="s">
        <v>89</v>
      </c>
      <c r="L252" s="25" t="s">
        <v>89</v>
      </c>
      <c r="M252" s="25"/>
      <c r="N252" s="25" t="s">
        <v>89</v>
      </c>
      <c r="O252" s="48"/>
      <c r="Q252" s="48"/>
      <c r="R252" s="2"/>
      <c r="S252" s="25" t="s">
        <v>89</v>
      </c>
      <c r="T252" s="25" t="s">
        <v>89</v>
      </c>
      <c r="U252" s="25" t="s">
        <v>89</v>
      </c>
      <c r="V252" s="25"/>
      <c r="W252" s="25"/>
    </row>
    <row r="253" spans="1:23" ht="15.75">
      <c r="A253" s="67" t="s">
        <v>166</v>
      </c>
      <c r="B253" s="67"/>
      <c r="C253" s="2"/>
      <c r="D253" s="67"/>
      <c r="H253" s="25">
        <f>1024*1024</f>
        <v>1048576</v>
      </c>
      <c r="K253" s="25">
        <f>1024*1024</f>
        <v>1048576</v>
      </c>
      <c r="L253" s="25">
        <f>1024*1024</f>
        <v>1048576</v>
      </c>
      <c r="M253" s="25"/>
      <c r="N253" s="25">
        <f>1024*1024</f>
        <v>1048576</v>
      </c>
      <c r="O253" s="48"/>
      <c r="Q253" s="48"/>
      <c r="R253" s="2"/>
      <c r="S253" s="25">
        <f>1024*1024</f>
        <v>1048576</v>
      </c>
      <c r="T253" s="25">
        <f>1024*1024</f>
        <v>1048576</v>
      </c>
      <c r="U253" s="25">
        <f>1024*1024</f>
        <v>1048576</v>
      </c>
      <c r="V253" s="25"/>
      <c r="W253" s="25"/>
    </row>
    <row r="254" spans="1:23" ht="15.75">
      <c r="A254" s="67"/>
      <c r="B254" s="67"/>
      <c r="C254" s="100"/>
      <c r="D254" s="67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48"/>
      <c r="Q254" s="48"/>
      <c r="R254" s="100"/>
      <c r="S254" s="86"/>
      <c r="T254" s="86"/>
      <c r="U254" s="86"/>
      <c r="V254" s="86"/>
      <c r="W254" s="86"/>
    </row>
    <row r="255" spans="1:23" ht="15.75">
      <c r="A255" s="67" t="s">
        <v>167</v>
      </c>
      <c r="B255" s="67"/>
      <c r="C255" s="2"/>
      <c r="D255" s="67"/>
      <c r="H255" s="25">
        <f>1*931328+216667+48155</f>
        <v>1196150</v>
      </c>
      <c r="K255" s="25">
        <f>1*931328+216667+48155</f>
        <v>1196150</v>
      </c>
      <c r="L255" s="25">
        <f>1*931328+216667+50804</f>
        <v>1198799</v>
      </c>
      <c r="M255" s="25"/>
      <c r="N255" s="25">
        <f>1*931328+216667+47280</f>
        <v>1195275</v>
      </c>
      <c r="O255" s="48"/>
      <c r="Q255" s="48"/>
      <c r="R255" s="2"/>
      <c r="S255" s="25">
        <f>931328+46527</f>
        <v>977855</v>
      </c>
      <c r="T255" s="25">
        <f>931328+46527</f>
        <v>977855</v>
      </c>
      <c r="U255" s="25">
        <f>931328+46605</f>
        <v>977933</v>
      </c>
      <c r="V255" s="25"/>
      <c r="W255" s="25"/>
    </row>
    <row r="256" spans="1:23" ht="15.75">
      <c r="A256" s="87" t="s">
        <v>84</v>
      </c>
      <c r="C256" s="24"/>
      <c r="D256" s="47"/>
      <c r="E256" s="81"/>
      <c r="H256" s="25" t="s">
        <v>89</v>
      </c>
      <c r="K256" s="25" t="s">
        <v>89</v>
      </c>
      <c r="L256" s="25" t="s">
        <v>89</v>
      </c>
      <c r="M256" s="25"/>
      <c r="N256" s="25" t="s">
        <v>89</v>
      </c>
      <c r="O256" s="48"/>
      <c r="Q256" s="48"/>
      <c r="R256" s="2"/>
      <c r="S256" s="25" t="s">
        <v>89</v>
      </c>
      <c r="T256" s="25" t="s">
        <v>89</v>
      </c>
      <c r="U256" s="25" t="s">
        <v>89</v>
      </c>
      <c r="V256" s="25"/>
      <c r="W256" s="25"/>
    </row>
    <row r="257" spans="1:23" ht="15.75">
      <c r="A257" s="87" t="s">
        <v>169</v>
      </c>
      <c r="C257" s="25"/>
      <c r="D257" s="47"/>
      <c r="E257" s="81"/>
      <c r="H257" s="25" t="s">
        <v>90</v>
      </c>
      <c r="K257" s="25" t="s">
        <v>90</v>
      </c>
      <c r="L257" s="25" t="s">
        <v>90</v>
      </c>
      <c r="M257" s="25"/>
      <c r="N257" s="25" t="s">
        <v>90</v>
      </c>
      <c r="O257" s="48"/>
      <c r="Q257" s="48"/>
      <c r="R257" s="48"/>
      <c r="S257" s="25" t="s">
        <v>303</v>
      </c>
      <c r="T257" s="25" t="s">
        <v>90</v>
      </c>
      <c r="U257" s="25" t="s">
        <v>303</v>
      </c>
      <c r="V257" s="25"/>
      <c r="W257" s="25"/>
    </row>
    <row r="258" spans="1:23" ht="31.5">
      <c r="A258" s="87" t="s">
        <v>171</v>
      </c>
      <c r="C258" s="24"/>
      <c r="D258" s="47"/>
      <c r="E258" s="88"/>
      <c r="L258" s="25"/>
      <c r="M258" s="25"/>
      <c r="N258" s="25"/>
      <c r="O258" s="48"/>
      <c r="Q258" s="48"/>
      <c r="R258" s="2"/>
      <c r="S258" s="25"/>
      <c r="T258" s="25"/>
      <c r="U258" s="25"/>
      <c r="V258" s="25"/>
      <c r="W258" s="25"/>
    </row>
    <row r="259" spans="1:23" ht="31.5">
      <c r="A259" s="87" t="s">
        <v>305</v>
      </c>
      <c r="C259" s="2"/>
      <c r="D259" s="47"/>
      <c r="L259" s="25"/>
      <c r="M259" s="25"/>
      <c r="N259" s="25"/>
      <c r="O259" s="48"/>
      <c r="Q259" s="48"/>
      <c r="R259" s="2"/>
      <c r="S259" s="25"/>
      <c r="T259" s="25"/>
      <c r="U259" s="25"/>
      <c r="V259" s="25"/>
      <c r="W259" s="25"/>
    </row>
    <row r="260" spans="1:23" ht="31.5">
      <c r="A260" s="87" t="s">
        <v>306</v>
      </c>
      <c r="C260" s="2"/>
      <c r="D260" s="47"/>
      <c r="L260" s="25"/>
      <c r="M260" s="25"/>
      <c r="N260" s="25"/>
      <c r="O260" s="48"/>
      <c r="Q260" s="48"/>
      <c r="R260" s="2"/>
      <c r="S260" s="25"/>
      <c r="T260" s="25"/>
      <c r="U260" s="25"/>
      <c r="V260" s="25"/>
      <c r="W260" s="25"/>
    </row>
    <row r="261" spans="1:23" ht="15.75">
      <c r="A261" s="64" t="s">
        <v>324</v>
      </c>
      <c r="B261" s="64"/>
      <c r="C261" s="91"/>
      <c r="D261" s="64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48"/>
      <c r="Q261" s="48"/>
      <c r="R261" s="91"/>
      <c r="S261" s="66"/>
      <c r="T261" s="66"/>
      <c r="U261" s="66"/>
      <c r="V261" s="66"/>
      <c r="W261" s="66"/>
    </row>
    <row r="262" spans="1:23" ht="15.75">
      <c r="A262" s="82" t="s">
        <v>137</v>
      </c>
      <c r="C262" s="2"/>
      <c r="D262" s="47"/>
      <c r="H262" s="25">
        <v>8</v>
      </c>
      <c r="K262" s="25">
        <v>8</v>
      </c>
      <c r="L262" s="25">
        <v>8</v>
      </c>
      <c r="M262" s="25"/>
      <c r="N262" s="25">
        <v>8</v>
      </c>
      <c r="O262" s="48"/>
      <c r="Q262" s="48"/>
      <c r="R262" s="2"/>
      <c r="S262" s="25">
        <v>8</v>
      </c>
      <c r="T262" s="25">
        <v>8</v>
      </c>
      <c r="U262" s="25">
        <v>8</v>
      </c>
      <c r="V262" s="25"/>
      <c r="W262" s="25"/>
    </row>
    <row r="263" spans="1:23" ht="15.75">
      <c r="A263" s="67" t="s">
        <v>300</v>
      </c>
      <c r="B263" s="82"/>
      <c r="C263" s="2"/>
      <c r="D263" s="82"/>
      <c r="H263" s="25">
        <v>1</v>
      </c>
      <c r="K263" s="25">
        <v>1</v>
      </c>
      <c r="L263" s="25">
        <v>1</v>
      </c>
      <c r="M263" s="25"/>
      <c r="N263" s="25">
        <v>1</v>
      </c>
      <c r="O263" s="48"/>
      <c r="Q263" s="48"/>
      <c r="R263" s="2"/>
      <c r="S263" s="25">
        <v>1</v>
      </c>
      <c r="T263" s="25">
        <v>1</v>
      </c>
      <c r="U263" s="25">
        <v>1</v>
      </c>
      <c r="V263" s="25"/>
      <c r="W263" s="25"/>
    </row>
    <row r="264" spans="1:23" ht="15.75">
      <c r="A264" s="67" t="s">
        <v>138</v>
      </c>
      <c r="C264" s="2"/>
      <c r="D264" s="47"/>
      <c r="H264" s="25">
        <v>0</v>
      </c>
      <c r="K264" s="25">
        <v>0</v>
      </c>
      <c r="L264" s="25">
        <v>0</v>
      </c>
      <c r="M264" s="25"/>
      <c r="N264" s="25">
        <v>0</v>
      </c>
      <c r="O264" s="48"/>
      <c r="Q264" s="48"/>
      <c r="R264" s="2"/>
      <c r="S264" s="25">
        <v>0</v>
      </c>
      <c r="T264" s="25">
        <v>0</v>
      </c>
      <c r="U264" s="25">
        <v>0</v>
      </c>
      <c r="V264" s="25"/>
      <c r="W264" s="25"/>
    </row>
    <row r="265" spans="1:23" ht="15.75">
      <c r="A265" s="67" t="s">
        <v>139</v>
      </c>
      <c r="C265" s="2"/>
      <c r="D265" s="47"/>
      <c r="H265" s="25" t="s">
        <v>102</v>
      </c>
      <c r="K265" s="25" t="s">
        <v>102</v>
      </c>
      <c r="L265" s="25" t="s">
        <v>102</v>
      </c>
      <c r="M265" s="25"/>
      <c r="N265" s="25" t="s">
        <v>102</v>
      </c>
      <c r="O265" s="48"/>
      <c r="Q265" s="48"/>
      <c r="R265" s="2"/>
      <c r="S265" s="25" t="s">
        <v>102</v>
      </c>
      <c r="T265" s="25" t="s">
        <v>102</v>
      </c>
      <c r="U265" s="25" t="s">
        <v>102</v>
      </c>
      <c r="V265" s="25"/>
      <c r="W265" s="25"/>
    </row>
    <row r="266" spans="1:23" ht="15.75">
      <c r="A266" s="67" t="s">
        <v>141</v>
      </c>
      <c r="C266" s="30"/>
      <c r="D266" s="47"/>
      <c r="E266" s="83"/>
      <c r="F266" s="84"/>
      <c r="G266" s="84"/>
      <c r="H266" s="84">
        <f>2/3</f>
        <v>0.6666666666666666</v>
      </c>
      <c r="I266" s="84"/>
      <c r="J266" s="84"/>
      <c r="K266" s="84">
        <f>2/3</f>
        <v>0.6666666666666666</v>
      </c>
      <c r="L266" s="84">
        <f>2/3</f>
        <v>0.6666666666666666</v>
      </c>
      <c r="M266" s="84"/>
      <c r="N266" s="84">
        <f>2/3</f>
        <v>0.6666666666666666</v>
      </c>
      <c r="O266" s="48"/>
      <c r="Q266" s="48"/>
      <c r="R266" s="99"/>
      <c r="S266" s="84">
        <f>2/3</f>
        <v>0.6666666666666666</v>
      </c>
      <c r="T266" s="84">
        <f>2/3</f>
        <v>0.6666666666666666</v>
      </c>
      <c r="U266" s="84">
        <f>2/3</f>
        <v>0.6666666666666666</v>
      </c>
      <c r="V266" s="84"/>
      <c r="W266" s="84"/>
    </row>
    <row r="267" spans="1:23" ht="15.75">
      <c r="A267" s="67" t="s">
        <v>147</v>
      </c>
      <c r="C267" s="2"/>
      <c r="D267" s="47"/>
      <c r="H267" s="25">
        <v>16200</v>
      </c>
      <c r="K267" s="25">
        <v>16200</v>
      </c>
      <c r="L267" s="25">
        <v>16200</v>
      </c>
      <c r="M267" s="25"/>
      <c r="N267" s="25">
        <v>16200</v>
      </c>
      <c r="O267" s="48"/>
      <c r="Q267" s="48"/>
      <c r="R267" s="2"/>
      <c r="S267" s="25">
        <v>16200</v>
      </c>
      <c r="T267" s="25">
        <v>16200</v>
      </c>
      <c r="U267" s="25">
        <v>16200</v>
      </c>
      <c r="V267" s="25"/>
      <c r="W267" s="25"/>
    </row>
    <row r="268" spans="1:23" ht="15.75">
      <c r="A268" s="67" t="s">
        <v>148</v>
      </c>
      <c r="C268" s="2"/>
      <c r="D268" s="47"/>
      <c r="H268" s="25" t="s">
        <v>89</v>
      </c>
      <c r="K268" s="25" t="s">
        <v>89</v>
      </c>
      <c r="L268" s="25" t="s">
        <v>89</v>
      </c>
      <c r="M268" s="25"/>
      <c r="N268" s="25" t="s">
        <v>89</v>
      </c>
      <c r="O268" s="48"/>
      <c r="Q268" s="48"/>
      <c r="R268" s="2"/>
      <c r="S268" s="25" t="s">
        <v>89</v>
      </c>
      <c r="T268" s="25" t="s">
        <v>89</v>
      </c>
      <c r="U268" s="25" t="s">
        <v>89</v>
      </c>
      <c r="V268" s="25"/>
      <c r="W268" s="25"/>
    </row>
    <row r="269" spans="1:23" ht="15.75">
      <c r="A269" s="67" t="s">
        <v>149</v>
      </c>
      <c r="B269" s="49"/>
      <c r="C269" s="2"/>
      <c r="D269" s="49"/>
      <c r="H269" s="25">
        <v>3</v>
      </c>
      <c r="K269" s="25">
        <v>3</v>
      </c>
      <c r="L269" s="25">
        <v>3</v>
      </c>
      <c r="M269" s="25"/>
      <c r="N269" s="25">
        <v>3</v>
      </c>
      <c r="O269" s="48"/>
      <c r="Q269" s="48"/>
      <c r="R269" s="2"/>
      <c r="S269" s="25">
        <v>3</v>
      </c>
      <c r="T269" s="25">
        <v>3</v>
      </c>
      <c r="U269" s="25">
        <v>3</v>
      </c>
      <c r="V269" s="25"/>
      <c r="W269" s="25"/>
    </row>
    <row r="270" spans="1:23" ht="15.75">
      <c r="A270" s="67" t="s">
        <v>151</v>
      </c>
      <c r="C270" s="2"/>
      <c r="D270" s="47"/>
      <c r="H270" s="25">
        <v>3</v>
      </c>
      <c r="K270" s="25">
        <v>3</v>
      </c>
      <c r="L270" s="25">
        <v>3</v>
      </c>
      <c r="M270" s="25"/>
      <c r="N270" s="25">
        <v>3</v>
      </c>
      <c r="O270" s="48"/>
      <c r="Q270" s="48"/>
      <c r="R270" s="2"/>
      <c r="S270" s="25">
        <v>3</v>
      </c>
      <c r="T270" s="25">
        <v>3</v>
      </c>
      <c r="U270" s="25">
        <v>3</v>
      </c>
      <c r="V270" s="25"/>
      <c r="W270" s="25"/>
    </row>
    <row r="271" spans="1:23" ht="15.75">
      <c r="A271" s="67" t="s">
        <v>153</v>
      </c>
      <c r="B271" s="49"/>
      <c r="C271" s="2"/>
      <c r="D271" s="49"/>
      <c r="H271" s="25">
        <v>1</v>
      </c>
      <c r="K271" s="25">
        <v>1</v>
      </c>
      <c r="L271" s="25">
        <v>1</v>
      </c>
      <c r="M271" s="25"/>
      <c r="N271" s="25">
        <v>1</v>
      </c>
      <c r="O271" s="48"/>
      <c r="Q271" s="48"/>
      <c r="R271" s="2"/>
      <c r="S271" s="25">
        <v>1</v>
      </c>
      <c r="T271" s="25">
        <v>1</v>
      </c>
      <c r="U271" s="25">
        <v>1</v>
      </c>
      <c r="V271" s="25"/>
      <c r="W271" s="25"/>
    </row>
    <row r="272" spans="1:23" ht="15.75">
      <c r="A272" s="67" t="s">
        <v>155</v>
      </c>
      <c r="B272" s="49"/>
      <c r="C272" s="2"/>
      <c r="D272" s="49"/>
      <c r="H272" s="25">
        <v>1</v>
      </c>
      <c r="K272" s="25">
        <v>1</v>
      </c>
      <c r="L272" s="25">
        <v>1</v>
      </c>
      <c r="M272" s="25"/>
      <c r="N272" s="25">
        <v>1</v>
      </c>
      <c r="O272" s="48"/>
      <c r="Q272" s="48"/>
      <c r="R272" s="2"/>
      <c r="S272" s="25">
        <v>1</v>
      </c>
      <c r="T272" s="25">
        <v>1</v>
      </c>
      <c r="U272" s="25">
        <v>1</v>
      </c>
      <c r="V272" s="25"/>
      <c r="W272" s="25"/>
    </row>
    <row r="273" spans="1:23" ht="15.75">
      <c r="A273" s="67" t="s">
        <v>156</v>
      </c>
      <c r="C273" s="2"/>
      <c r="D273" s="47"/>
      <c r="H273" s="25">
        <v>1</v>
      </c>
      <c r="K273" s="25">
        <v>1</v>
      </c>
      <c r="L273" s="25">
        <v>1</v>
      </c>
      <c r="M273" s="25"/>
      <c r="N273" s="25">
        <v>1</v>
      </c>
      <c r="O273" s="48"/>
      <c r="Q273" s="48"/>
      <c r="R273" s="2"/>
      <c r="S273" s="25">
        <v>1</v>
      </c>
      <c r="T273" s="25">
        <v>1</v>
      </c>
      <c r="U273" s="25">
        <v>1</v>
      </c>
      <c r="V273" s="25"/>
      <c r="W273" s="25"/>
    </row>
    <row r="274" spans="1:23" ht="15.75">
      <c r="A274" s="67" t="s">
        <v>302</v>
      </c>
      <c r="B274" s="67"/>
      <c r="C274" s="2"/>
      <c r="D274" s="67"/>
      <c r="H274" s="25">
        <v>0</v>
      </c>
      <c r="K274" s="25">
        <v>0</v>
      </c>
      <c r="L274" s="25">
        <v>0</v>
      </c>
      <c r="M274" s="25"/>
      <c r="N274" s="25">
        <v>0</v>
      </c>
      <c r="O274" s="48"/>
      <c r="Q274" s="48"/>
      <c r="R274" s="2"/>
      <c r="S274" s="25">
        <v>0</v>
      </c>
      <c r="T274" s="25">
        <v>0</v>
      </c>
      <c r="U274" s="25">
        <v>0</v>
      </c>
      <c r="V274" s="25"/>
      <c r="W274" s="25"/>
    </row>
    <row r="275" spans="1:23" ht="15.75">
      <c r="A275" s="85" t="s">
        <v>159</v>
      </c>
      <c r="B275" s="64"/>
      <c r="C275" s="91"/>
      <c r="D275" s="64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48"/>
      <c r="Q275" s="48"/>
      <c r="R275" s="91"/>
      <c r="S275" s="66"/>
      <c r="T275" s="66"/>
      <c r="U275" s="66"/>
      <c r="V275" s="66"/>
      <c r="W275" s="66"/>
    </row>
    <row r="276" spans="1:23" ht="15.75">
      <c r="A276" s="67" t="s">
        <v>160</v>
      </c>
      <c r="C276" s="2"/>
      <c r="D276" s="47"/>
      <c r="H276" s="25" t="s">
        <v>161</v>
      </c>
      <c r="K276" s="25" t="s">
        <v>161</v>
      </c>
      <c r="L276" s="25" t="s">
        <v>161</v>
      </c>
      <c r="M276" s="25"/>
      <c r="N276" s="25" t="s">
        <v>161</v>
      </c>
      <c r="O276" s="48"/>
      <c r="Q276" s="48"/>
      <c r="R276" s="2"/>
      <c r="S276" s="25" t="s">
        <v>161</v>
      </c>
      <c r="T276" s="25" t="s">
        <v>161</v>
      </c>
      <c r="U276" s="25" t="s">
        <v>161</v>
      </c>
      <c r="V276" s="25"/>
      <c r="W276" s="25"/>
    </row>
    <row r="277" spans="1:23" ht="15.75">
      <c r="A277" s="67" t="s">
        <v>164</v>
      </c>
      <c r="C277" s="2"/>
      <c r="D277" s="47"/>
      <c r="H277" s="25" t="s">
        <v>89</v>
      </c>
      <c r="K277" s="25" t="s">
        <v>89</v>
      </c>
      <c r="L277" s="25" t="s">
        <v>89</v>
      </c>
      <c r="M277" s="25"/>
      <c r="N277" s="25" t="s">
        <v>89</v>
      </c>
      <c r="O277" s="48"/>
      <c r="Q277" s="48"/>
      <c r="R277" s="2"/>
      <c r="S277" s="25" t="s">
        <v>89</v>
      </c>
      <c r="T277" s="25" t="s">
        <v>89</v>
      </c>
      <c r="U277" s="25" t="s">
        <v>89</v>
      </c>
      <c r="V277" s="25"/>
      <c r="W277" s="25"/>
    </row>
    <row r="278" spans="1:23" ht="15.75">
      <c r="A278" s="67" t="s">
        <v>166</v>
      </c>
      <c r="B278" s="67"/>
      <c r="C278" s="2"/>
      <c r="D278" s="67"/>
      <c r="H278" s="25">
        <f>1024*1024</f>
        <v>1048576</v>
      </c>
      <c r="K278" s="25">
        <f>1024*1024</f>
        <v>1048576</v>
      </c>
      <c r="L278" s="25">
        <f>1024*1024</f>
        <v>1048576</v>
      </c>
      <c r="M278" s="25"/>
      <c r="N278" s="25">
        <f>1024*1024</f>
        <v>1048576</v>
      </c>
      <c r="O278" s="48"/>
      <c r="Q278" s="48"/>
      <c r="R278" s="2"/>
      <c r="S278" s="25">
        <f>1024*1024</f>
        <v>1048576</v>
      </c>
      <c r="T278" s="25">
        <f>1024*1024</f>
        <v>1048576</v>
      </c>
      <c r="U278" s="25">
        <f>1024*1024</f>
        <v>1048576</v>
      </c>
      <c r="V278" s="25"/>
      <c r="W278" s="25"/>
    </row>
    <row r="279" spans="1:23" ht="15.75">
      <c r="A279" s="67"/>
      <c r="B279" s="67"/>
      <c r="C279" s="100"/>
      <c r="D279" s="67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48"/>
      <c r="Q279" s="48"/>
      <c r="R279" s="100"/>
      <c r="S279" s="86"/>
      <c r="T279" s="86"/>
      <c r="U279" s="86"/>
      <c r="V279" s="86"/>
      <c r="W279" s="86"/>
    </row>
    <row r="280" spans="1:23" ht="15.75">
      <c r="A280" s="67" t="s">
        <v>167</v>
      </c>
      <c r="B280" s="67"/>
      <c r="C280" s="2"/>
      <c r="D280" s="67"/>
      <c r="H280" s="25">
        <f>4*931328+216667+48155</f>
        <v>3990134</v>
      </c>
      <c r="K280" s="25">
        <f>4*931328+216667+48155</f>
        <v>3990134</v>
      </c>
      <c r="L280" s="25">
        <f>4*931328+216667+50804</f>
        <v>3992783</v>
      </c>
      <c r="M280" s="25"/>
      <c r="N280" s="25">
        <f>4*931328+216667+47280</f>
        <v>3989259</v>
      </c>
      <c r="O280" s="48"/>
      <c r="Q280" s="48"/>
      <c r="R280" s="2"/>
      <c r="S280" s="25">
        <f>931328+46527</f>
        <v>977855</v>
      </c>
      <c r="T280" s="25">
        <f>4*931328+46527</f>
        <v>3771839</v>
      </c>
      <c r="U280" s="25">
        <f>U255</f>
        <v>977933</v>
      </c>
      <c r="V280" s="25"/>
      <c r="W280" s="25"/>
    </row>
    <row r="281" spans="1:23" ht="15.75">
      <c r="A281" s="87" t="s">
        <v>84</v>
      </c>
      <c r="C281" s="24"/>
      <c r="D281" s="47"/>
      <c r="E281" s="81"/>
      <c r="H281" s="25" t="s">
        <v>89</v>
      </c>
      <c r="K281" s="25" t="s">
        <v>89</v>
      </c>
      <c r="L281" s="25" t="s">
        <v>89</v>
      </c>
      <c r="M281" s="25"/>
      <c r="N281" s="25" t="s">
        <v>89</v>
      </c>
      <c r="O281" s="48"/>
      <c r="Q281" s="48"/>
      <c r="R281" s="2"/>
      <c r="S281" s="25" t="s">
        <v>89</v>
      </c>
      <c r="T281" s="25" t="s">
        <v>89</v>
      </c>
      <c r="U281" s="25" t="s">
        <v>89</v>
      </c>
      <c r="V281" s="25"/>
      <c r="W281" s="25"/>
    </row>
    <row r="282" spans="1:23" ht="15.75">
      <c r="A282" s="87" t="s">
        <v>169</v>
      </c>
      <c r="C282" s="25"/>
      <c r="D282" s="47"/>
      <c r="E282" s="81"/>
      <c r="H282" s="25" t="s">
        <v>303</v>
      </c>
      <c r="K282" s="25" t="s">
        <v>303</v>
      </c>
      <c r="L282" s="25" t="s">
        <v>303</v>
      </c>
      <c r="M282" s="25"/>
      <c r="N282" s="25" t="s">
        <v>303</v>
      </c>
      <c r="O282" s="48"/>
      <c r="Q282" s="48"/>
      <c r="R282" s="48"/>
      <c r="S282" s="25" t="s">
        <v>303</v>
      </c>
      <c r="T282" s="25" t="s">
        <v>303</v>
      </c>
      <c r="U282" s="25" t="s">
        <v>303</v>
      </c>
      <c r="V282" s="25"/>
      <c r="W282" s="25"/>
    </row>
    <row r="283" spans="1:23" ht="31.5">
      <c r="A283" s="87" t="s">
        <v>171</v>
      </c>
      <c r="C283" s="24"/>
      <c r="D283" s="47"/>
      <c r="E283" s="88"/>
      <c r="H283" s="25">
        <v>0</v>
      </c>
      <c r="K283" s="25">
        <v>0</v>
      </c>
      <c r="L283" s="25">
        <v>0</v>
      </c>
      <c r="M283" s="25"/>
      <c r="N283" s="25">
        <v>0</v>
      </c>
      <c r="O283" s="48"/>
      <c r="Q283" s="48"/>
      <c r="R283" s="2"/>
      <c r="S283" s="25">
        <v>0</v>
      </c>
      <c r="T283" s="25">
        <v>0</v>
      </c>
      <c r="U283" s="25">
        <v>0</v>
      </c>
      <c r="V283" s="25"/>
      <c r="W283" s="25"/>
    </row>
    <row r="284" spans="1:23" ht="31.5">
      <c r="A284" s="87" t="s">
        <v>305</v>
      </c>
      <c r="C284" s="2"/>
      <c r="D284" s="47"/>
      <c r="L284" s="25"/>
      <c r="M284" s="25"/>
      <c r="N284" s="25"/>
      <c r="O284" s="48"/>
      <c r="Q284" s="48"/>
      <c r="R284" s="2"/>
      <c r="S284" s="25"/>
      <c r="V284" s="25"/>
      <c r="W284" s="25"/>
    </row>
    <row r="285" spans="1:23" ht="31.5">
      <c r="A285" s="87" t="s">
        <v>306</v>
      </c>
      <c r="C285" s="2"/>
      <c r="D285" s="47"/>
      <c r="L285" s="25"/>
      <c r="M285" s="25"/>
      <c r="N285" s="25"/>
      <c r="O285" s="48"/>
      <c r="Q285" s="48"/>
      <c r="R285" s="2"/>
      <c r="S285" s="25"/>
      <c r="V285" s="25"/>
      <c r="W285" s="25"/>
    </row>
    <row r="286" spans="4:23" ht="12.75">
      <c r="D286" s="47"/>
      <c r="L286" s="25"/>
      <c r="M286" s="25"/>
      <c r="N286" s="25"/>
      <c r="O286" s="48"/>
      <c r="Q286" s="48"/>
      <c r="R286" s="47"/>
      <c r="S286" s="25"/>
      <c r="V286" s="25"/>
      <c r="W286" s="25"/>
    </row>
    <row r="287" spans="1:23" ht="15.75">
      <c r="A287" s="85" t="s">
        <v>358</v>
      </c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</row>
    <row r="288" spans="1:23" ht="15.75">
      <c r="A288" s="79" t="s">
        <v>359</v>
      </c>
      <c r="C288" s="67"/>
      <c r="D288" s="47"/>
      <c r="F288" s="25">
        <f>23*2025</f>
        <v>46575</v>
      </c>
      <c r="H288" s="25">
        <f>20*2025+3*8100</f>
        <v>64800</v>
      </c>
      <c r="K288" s="25">
        <f>20*2025+3*8100</f>
        <v>64800</v>
      </c>
      <c r="L288" s="25">
        <f>20*2025+3*8100</f>
        <v>64800</v>
      </c>
      <c r="M288" s="25"/>
      <c r="N288" s="25">
        <f>20*2025+3*8100</f>
        <v>64800</v>
      </c>
      <c r="O288" s="48"/>
      <c r="Q288" s="48"/>
      <c r="R288" s="67"/>
      <c r="S288" s="25"/>
      <c r="U288" s="25">
        <v>64800</v>
      </c>
      <c r="V288" s="25"/>
      <c r="W288" s="25"/>
    </row>
    <row r="289" spans="1:23" ht="15.75">
      <c r="A289" s="79" t="s">
        <v>360</v>
      </c>
      <c r="C289" s="67"/>
      <c r="D289" s="47"/>
      <c r="F289" s="25">
        <v>0</v>
      </c>
      <c r="H289" s="25">
        <f>48*2025</f>
        <v>97200</v>
      </c>
      <c r="K289" s="25">
        <f>48*2025</f>
        <v>97200</v>
      </c>
      <c r="L289" s="25">
        <f>48*2025</f>
        <v>97200</v>
      </c>
      <c r="M289" s="25"/>
      <c r="N289" s="25">
        <f>48*2025</f>
        <v>97200</v>
      </c>
      <c r="O289" s="48"/>
      <c r="Q289" s="48"/>
      <c r="R289" s="67"/>
      <c r="S289" s="25"/>
      <c r="U289" s="25">
        <v>97200</v>
      </c>
      <c r="V289" s="25"/>
      <c r="W289" s="25"/>
    </row>
    <row r="290" spans="1:23" ht="15.75">
      <c r="A290" s="79" t="s">
        <v>361</v>
      </c>
      <c r="C290" s="67"/>
      <c r="D290" s="47"/>
      <c r="F290" s="25">
        <f>88*8100</f>
        <v>712800</v>
      </c>
      <c r="H290" s="25">
        <f>70*8100</f>
        <v>567000</v>
      </c>
      <c r="K290" s="25">
        <f>70*8100</f>
        <v>567000</v>
      </c>
      <c r="L290" s="25">
        <f>70*8100</f>
        <v>567000</v>
      </c>
      <c r="M290" s="25"/>
      <c r="N290" s="25">
        <f>70*8100</f>
        <v>567000</v>
      </c>
      <c r="O290" s="48"/>
      <c r="Q290" s="48"/>
      <c r="R290" s="67"/>
      <c r="S290" s="25"/>
      <c r="U290" s="25">
        <v>567000</v>
      </c>
      <c r="V290" s="25"/>
      <c r="W290" s="25"/>
    </row>
    <row r="291" spans="1:23" ht="15.75">
      <c r="A291" s="79"/>
      <c r="C291" s="67"/>
      <c r="D291" s="47"/>
      <c r="L291" s="25"/>
      <c r="M291" s="25"/>
      <c r="N291" s="25"/>
      <c r="O291" s="48"/>
      <c r="Q291" s="48"/>
      <c r="R291" s="67"/>
      <c r="S291" s="25"/>
      <c r="V291" s="25"/>
      <c r="W291" s="25"/>
    </row>
    <row r="292" spans="12:19" ht="12.75">
      <c r="L292" s="25"/>
      <c r="M292" s="48"/>
      <c r="N292" s="47"/>
      <c r="O292" s="47"/>
      <c r="P292" s="25"/>
      <c r="Q292" s="48"/>
      <c r="S292" s="25"/>
    </row>
    <row r="293" spans="12:19" ht="12.75">
      <c r="L293" s="25"/>
      <c r="M293" s="48"/>
      <c r="N293" s="47"/>
      <c r="O293" s="47"/>
      <c r="P293" s="25"/>
      <c r="Q293" s="48"/>
      <c r="S293" s="25"/>
    </row>
    <row r="294" spans="12:19" ht="12.75">
      <c r="L294" s="25"/>
      <c r="M294" s="48"/>
      <c r="N294" s="47"/>
      <c r="O294" s="47"/>
      <c r="P294" s="25"/>
      <c r="Q294" s="48"/>
      <c r="S294" s="25"/>
    </row>
    <row r="295" spans="12:19" ht="12.75">
      <c r="L295" s="25"/>
      <c r="M295" s="48"/>
      <c r="N295" s="47"/>
      <c r="O295" s="47"/>
      <c r="P295" s="25"/>
      <c r="Q295" s="48"/>
      <c r="S295" s="25"/>
    </row>
    <row r="296" spans="12:19" ht="12.75">
      <c r="L296" s="25"/>
      <c r="M296" s="48"/>
      <c r="N296" s="47"/>
      <c r="O296" s="47"/>
      <c r="P296" s="25"/>
      <c r="Q296" s="48"/>
      <c r="S296" s="25"/>
    </row>
    <row r="297" spans="12:19" ht="12.75">
      <c r="L297" s="25"/>
      <c r="M297" s="48"/>
      <c r="N297" s="47"/>
      <c r="O297" s="47"/>
      <c r="P297" s="25"/>
      <c r="Q297" s="48"/>
      <c r="S297" s="25"/>
    </row>
    <row r="298" spans="12:19" ht="12.75">
      <c r="L298" s="25"/>
      <c r="M298" s="48"/>
      <c r="N298" s="47"/>
      <c r="O298" s="47"/>
      <c r="P298" s="25"/>
      <c r="Q298" s="48"/>
      <c r="S298" s="25"/>
    </row>
    <row r="299" spans="12:19" ht="12.75">
      <c r="L299" s="25"/>
      <c r="M299" s="48"/>
      <c r="N299" s="47"/>
      <c r="O299" s="47"/>
      <c r="P299" s="25"/>
      <c r="Q299" s="48"/>
      <c r="S299" s="25"/>
    </row>
    <row r="300" spans="12:19" ht="12.75">
      <c r="L300" s="25"/>
      <c r="M300" s="48"/>
      <c r="N300" s="47"/>
      <c r="O300" s="47"/>
      <c r="P300" s="25"/>
      <c r="Q300" s="48"/>
      <c r="S300" s="25"/>
    </row>
    <row r="301" spans="12:19" ht="12.75">
      <c r="L301" s="25"/>
      <c r="M301" s="48"/>
      <c r="N301" s="47"/>
      <c r="O301" s="47"/>
      <c r="P301" s="25"/>
      <c r="Q301" s="48"/>
      <c r="S301" s="25"/>
    </row>
    <row r="302" spans="12:19" ht="12.75">
      <c r="L302" s="25"/>
      <c r="M302" s="48"/>
      <c r="N302" s="47"/>
      <c r="O302" s="47"/>
      <c r="P302" s="25"/>
      <c r="Q302" s="48"/>
      <c r="S302" s="25"/>
    </row>
    <row r="303" spans="12:19" ht="12.75">
      <c r="L303" s="25"/>
      <c r="M303" s="48"/>
      <c r="N303" s="47"/>
      <c r="O303" s="47"/>
      <c r="P303" s="25"/>
      <c r="Q303" s="48"/>
      <c r="S303" s="25"/>
    </row>
    <row r="304" spans="12:19" ht="12.75">
      <c r="L304" s="25"/>
      <c r="M304" s="48"/>
      <c r="N304" s="47"/>
      <c r="O304" s="47"/>
      <c r="P304" s="25"/>
      <c r="Q304" s="48"/>
      <c r="S304" s="25"/>
    </row>
    <row r="305" spans="12:19" ht="12.75">
      <c r="L305" s="25"/>
      <c r="M305" s="48"/>
      <c r="N305" s="47"/>
      <c r="O305" s="47"/>
      <c r="P305" s="25"/>
      <c r="Q305" s="48"/>
      <c r="S305" s="25"/>
    </row>
    <row r="306" spans="12:19" ht="12.75">
      <c r="L306" s="25"/>
      <c r="M306" s="48"/>
      <c r="N306" s="47"/>
      <c r="O306" s="47"/>
      <c r="P306" s="25"/>
      <c r="Q306" s="48"/>
      <c r="S306" s="25"/>
    </row>
    <row r="307" spans="12:19" ht="12.75">
      <c r="L307" s="25"/>
      <c r="M307" s="48"/>
      <c r="N307" s="47"/>
      <c r="O307" s="47"/>
      <c r="P307" s="25"/>
      <c r="Q307" s="48"/>
      <c r="S307" s="25"/>
    </row>
    <row r="308" spans="12:19" ht="12.75">
      <c r="L308" s="25"/>
      <c r="M308" s="48"/>
      <c r="N308" s="47"/>
      <c r="O308" s="47"/>
      <c r="P308" s="25"/>
      <c r="Q308" s="48"/>
      <c r="S308" s="25"/>
    </row>
    <row r="309" spans="12:19" ht="12.75">
      <c r="L309" s="25"/>
      <c r="M309" s="48"/>
      <c r="N309" s="47"/>
      <c r="O309" s="47"/>
      <c r="P309" s="25"/>
      <c r="Q309" s="48"/>
      <c r="S309" s="25"/>
    </row>
    <row r="310" spans="12:19" ht="12.75">
      <c r="L310" s="25"/>
      <c r="M310" s="48"/>
      <c r="N310" s="47"/>
      <c r="O310" s="47"/>
      <c r="P310" s="25"/>
      <c r="Q310" s="48"/>
      <c r="S310" s="25"/>
    </row>
    <row r="311" spans="12:19" ht="12.75">
      <c r="L311" s="25"/>
      <c r="M311" s="48"/>
      <c r="N311" s="47"/>
      <c r="O311" s="47"/>
      <c r="P311" s="25"/>
      <c r="Q311" s="48"/>
      <c r="S311" s="25"/>
    </row>
    <row r="312" spans="12:19" ht="12.75">
      <c r="L312" s="25"/>
      <c r="M312" s="48"/>
      <c r="N312" s="47"/>
      <c r="O312" s="47"/>
      <c r="P312" s="25"/>
      <c r="Q312" s="48"/>
      <c r="S312" s="25"/>
    </row>
    <row r="313" spans="12:19" ht="12.75">
      <c r="L313" s="25"/>
      <c r="M313" s="48"/>
      <c r="N313" s="47"/>
      <c r="O313" s="47"/>
      <c r="P313" s="25"/>
      <c r="Q313" s="48"/>
      <c r="S313" s="25"/>
    </row>
    <row r="314" spans="12:19" ht="12.75">
      <c r="L314" s="25"/>
      <c r="M314" s="48"/>
      <c r="N314" s="47"/>
      <c r="O314" s="47"/>
      <c r="P314" s="25"/>
      <c r="Q314" s="48"/>
      <c r="S314" s="25"/>
    </row>
    <row r="315" spans="12:19" ht="12.75">
      <c r="L315" s="25"/>
      <c r="M315" s="48"/>
      <c r="N315" s="47"/>
      <c r="O315" s="47"/>
      <c r="P315" s="25"/>
      <c r="Q315" s="48"/>
      <c r="S315" s="25"/>
    </row>
    <row r="316" spans="12:19" ht="12.75">
      <c r="L316" s="25"/>
      <c r="M316" s="48"/>
      <c r="N316" s="47"/>
      <c r="O316" s="47"/>
      <c r="P316" s="25"/>
      <c r="Q316" s="48"/>
      <c r="S316" s="25"/>
    </row>
    <row r="317" spans="12:19" ht="12.75">
      <c r="L317" s="25"/>
      <c r="M317" s="48"/>
      <c r="N317" s="47"/>
      <c r="O317" s="47"/>
      <c r="P317" s="25"/>
      <c r="Q317" s="48"/>
      <c r="S317" s="25"/>
    </row>
    <row r="318" spans="12:19" ht="12.75">
      <c r="L318" s="25"/>
      <c r="M318" s="48"/>
      <c r="N318" s="47"/>
      <c r="O318" s="47"/>
      <c r="P318" s="25"/>
      <c r="Q318" s="48"/>
      <c r="S318" s="25"/>
    </row>
    <row r="319" spans="12:19" ht="12.75">
      <c r="L319" s="25"/>
      <c r="M319" s="48"/>
      <c r="N319" s="47"/>
      <c r="O319" s="47"/>
      <c r="P319" s="25"/>
      <c r="Q319" s="48"/>
      <c r="S319" s="25"/>
    </row>
    <row r="320" spans="12:19" ht="12.75">
      <c r="L320" s="25"/>
      <c r="M320" s="48"/>
      <c r="N320" s="47"/>
      <c r="O320" s="47"/>
      <c r="P320" s="25"/>
      <c r="Q320" s="48"/>
      <c r="S320" s="25"/>
    </row>
    <row r="321" spans="12:19" ht="12.75">
      <c r="L321" s="25"/>
      <c r="M321" s="48"/>
      <c r="N321" s="47"/>
      <c r="O321" s="47"/>
      <c r="P321" s="25"/>
      <c r="Q321" s="48"/>
      <c r="S321" s="25"/>
    </row>
    <row r="322" spans="12:19" ht="12.75">
      <c r="L322" s="25"/>
      <c r="M322" s="48"/>
      <c r="N322" s="47"/>
      <c r="O322" s="47"/>
      <c r="P322" s="25"/>
      <c r="Q322" s="48"/>
      <c r="S322" s="25"/>
    </row>
    <row r="323" spans="12:19" ht="12.75">
      <c r="L323" s="25"/>
      <c r="M323" s="48"/>
      <c r="N323" s="47"/>
      <c r="O323" s="47"/>
      <c r="P323" s="25"/>
      <c r="Q323" s="48"/>
      <c r="S323" s="25"/>
    </row>
    <row r="324" spans="12:19" ht="12.75">
      <c r="L324" s="25"/>
      <c r="M324" s="48"/>
      <c r="N324" s="47"/>
      <c r="O324" s="47"/>
      <c r="P324" s="25"/>
      <c r="Q324" s="48"/>
      <c r="S324" s="25"/>
    </row>
    <row r="325" spans="12:19" ht="12.75">
      <c r="L325" s="25"/>
      <c r="M325" s="48"/>
      <c r="N325" s="47"/>
      <c r="O325" s="47"/>
      <c r="P325" s="25"/>
      <c r="Q325" s="48"/>
      <c r="S325" s="25"/>
    </row>
    <row r="326" spans="12:19" ht="12.75">
      <c r="L326" s="25"/>
      <c r="M326" s="48"/>
      <c r="N326" s="47"/>
      <c r="O326" s="47"/>
      <c r="P326" s="25"/>
      <c r="Q326" s="48"/>
      <c r="S326" s="25"/>
    </row>
    <row r="327" spans="12:19" ht="12.75">
      <c r="L327" s="25"/>
      <c r="M327" s="48"/>
      <c r="N327" s="47"/>
      <c r="O327" s="47"/>
      <c r="P327" s="25"/>
      <c r="Q327" s="48"/>
      <c r="S327" s="25"/>
    </row>
    <row r="328" spans="12:19" ht="12.75">
      <c r="L328" s="25"/>
      <c r="M328" s="48"/>
      <c r="N328" s="47"/>
      <c r="O328" s="47"/>
      <c r="P328" s="25"/>
      <c r="Q328" s="48"/>
      <c r="S328" s="25"/>
    </row>
    <row r="329" spans="12:19" ht="12.75">
      <c r="L329" s="25"/>
      <c r="M329" s="48"/>
      <c r="N329" s="47"/>
      <c r="O329" s="47"/>
      <c r="P329" s="25"/>
      <c r="Q329" s="48"/>
      <c r="S329" s="25"/>
    </row>
    <row r="330" spans="12:19" ht="12.75">
      <c r="L330" s="25"/>
      <c r="M330" s="48"/>
      <c r="N330" s="47"/>
      <c r="O330" s="47"/>
      <c r="P330" s="25"/>
      <c r="Q330" s="48"/>
      <c r="S330" s="25"/>
    </row>
    <row r="331" spans="12:19" ht="12.75">
      <c r="L331" s="25"/>
      <c r="M331" s="48"/>
      <c r="N331" s="47"/>
      <c r="O331" s="47"/>
      <c r="P331" s="25"/>
      <c r="Q331" s="48"/>
      <c r="S331" s="25"/>
    </row>
    <row r="332" spans="12:19" ht="12.75">
      <c r="L332" s="25"/>
      <c r="M332" s="48"/>
      <c r="N332" s="47"/>
      <c r="O332" s="47"/>
      <c r="P332" s="25"/>
      <c r="Q332" s="48"/>
      <c r="S332" s="25"/>
    </row>
    <row r="333" spans="12:19" ht="12.75">
      <c r="L333" s="25"/>
      <c r="M333" s="48"/>
      <c r="N333" s="47"/>
      <c r="O333" s="47"/>
      <c r="P333" s="25"/>
      <c r="Q333" s="48"/>
      <c r="S333" s="25"/>
    </row>
    <row r="334" spans="12:19" ht="12.75">
      <c r="L334" s="25"/>
      <c r="M334" s="48"/>
      <c r="N334" s="47"/>
      <c r="O334" s="47"/>
      <c r="P334" s="25"/>
      <c r="Q334" s="48"/>
      <c r="S334" s="25"/>
    </row>
    <row r="335" spans="12:19" ht="12.75">
      <c r="L335" s="25"/>
      <c r="M335" s="48"/>
      <c r="N335" s="47"/>
      <c r="O335" s="47"/>
      <c r="P335" s="25"/>
      <c r="Q335" s="48"/>
      <c r="S335" s="25"/>
    </row>
    <row r="336" spans="12:19" ht="12.75">
      <c r="L336" s="25"/>
      <c r="M336" s="48"/>
      <c r="N336" s="47"/>
      <c r="O336" s="47"/>
      <c r="P336" s="25"/>
      <c r="Q336" s="48"/>
      <c r="S336" s="25"/>
    </row>
    <row r="337" spans="12:19" ht="12.75">
      <c r="L337" s="25"/>
      <c r="M337" s="48"/>
      <c r="N337" s="47"/>
      <c r="O337" s="47"/>
      <c r="P337" s="25"/>
      <c r="Q337" s="48"/>
      <c r="S337" s="25"/>
    </row>
    <row r="338" spans="12:19" ht="12.75">
      <c r="L338" s="25"/>
      <c r="M338" s="48"/>
      <c r="N338" s="47"/>
      <c r="O338" s="47"/>
      <c r="P338" s="25"/>
      <c r="Q338" s="48"/>
      <c r="S338" s="25"/>
    </row>
    <row r="339" spans="12:19" ht="12.75">
      <c r="L339" s="25"/>
      <c r="M339" s="48"/>
      <c r="N339" s="47"/>
      <c r="O339" s="47"/>
      <c r="P339" s="25"/>
      <c r="Q339" s="48"/>
      <c r="S339" s="25"/>
    </row>
    <row r="340" spans="12:19" ht="12.75">
      <c r="L340" s="25"/>
      <c r="M340" s="48"/>
      <c r="N340" s="47"/>
      <c r="O340" s="47"/>
      <c r="P340" s="25"/>
      <c r="Q340" s="48"/>
      <c r="S340" s="25"/>
    </row>
    <row r="341" spans="12:19" ht="12.75">
      <c r="L341" s="25"/>
      <c r="M341" s="48"/>
      <c r="N341" s="47"/>
      <c r="O341" s="47"/>
      <c r="P341" s="25"/>
      <c r="Q341" s="48"/>
      <c r="S341" s="25"/>
    </row>
    <row r="342" spans="12:19" ht="12.75">
      <c r="L342" s="25"/>
      <c r="M342" s="48"/>
      <c r="N342" s="47"/>
      <c r="O342" s="47"/>
      <c r="P342" s="25"/>
      <c r="Q342" s="48"/>
      <c r="S342" s="25"/>
    </row>
    <row r="343" spans="12:19" ht="12.75">
      <c r="L343" s="25"/>
      <c r="M343" s="48"/>
      <c r="N343" s="47"/>
      <c r="O343" s="47"/>
      <c r="P343" s="25"/>
      <c r="Q343" s="48"/>
      <c r="S343" s="25"/>
    </row>
    <row r="344" spans="12:19" ht="12.75">
      <c r="L344" s="25"/>
      <c r="M344" s="48"/>
      <c r="N344" s="47"/>
      <c r="O344" s="47"/>
      <c r="P344" s="25"/>
      <c r="Q344" s="48"/>
      <c r="S344" s="25"/>
    </row>
    <row r="345" spans="12:19" ht="12.75">
      <c r="L345" s="25"/>
      <c r="M345" s="48"/>
      <c r="N345" s="47"/>
      <c r="O345" s="47"/>
      <c r="P345" s="25"/>
      <c r="Q345" s="48"/>
      <c r="S345" s="25"/>
    </row>
    <row r="346" spans="12:19" ht="12.75">
      <c r="L346" s="25"/>
      <c r="M346" s="48"/>
      <c r="N346" s="47"/>
      <c r="O346" s="47"/>
      <c r="P346" s="25"/>
      <c r="Q346" s="48"/>
      <c r="S346" s="25"/>
    </row>
    <row r="347" spans="12:19" ht="12.75">
      <c r="L347" s="25"/>
      <c r="M347" s="48"/>
      <c r="N347" s="47"/>
      <c r="O347" s="47"/>
      <c r="P347" s="25"/>
      <c r="Q347" s="48"/>
      <c r="S347" s="25"/>
    </row>
    <row r="348" spans="12:19" ht="12.75">
      <c r="L348" s="25"/>
      <c r="M348" s="48"/>
      <c r="N348" s="47"/>
      <c r="O348" s="47"/>
      <c r="P348" s="25"/>
      <c r="Q348" s="48"/>
      <c r="S348" s="25"/>
    </row>
    <row r="349" spans="12:19" ht="12.75">
      <c r="L349" s="25"/>
      <c r="M349" s="48"/>
      <c r="N349" s="47"/>
      <c r="O349" s="47"/>
      <c r="P349" s="25"/>
      <c r="Q349" s="48"/>
      <c r="S349" s="25"/>
    </row>
    <row r="350" spans="12:19" ht="12.75">
      <c r="L350" s="25"/>
      <c r="M350" s="48"/>
      <c r="N350" s="47"/>
      <c r="O350" s="47"/>
      <c r="P350" s="25"/>
      <c r="Q350" s="48"/>
      <c r="S350" s="25"/>
    </row>
    <row r="351" spans="12:19" ht="12.75">
      <c r="L351" s="25"/>
      <c r="M351" s="48"/>
      <c r="N351" s="47"/>
      <c r="O351" s="47"/>
      <c r="P351" s="25"/>
      <c r="Q351" s="48"/>
      <c r="S351" s="25"/>
    </row>
    <row r="352" spans="12:19" ht="12.75">
      <c r="L352" s="25"/>
      <c r="M352" s="48"/>
      <c r="N352" s="47"/>
      <c r="O352" s="47"/>
      <c r="P352" s="25"/>
      <c r="Q352" s="48"/>
      <c r="S352" s="25"/>
    </row>
    <row r="353" spans="12:19" ht="12.75">
      <c r="L353" s="25"/>
      <c r="M353" s="48"/>
      <c r="N353" s="47"/>
      <c r="O353" s="47"/>
      <c r="P353" s="25"/>
      <c r="Q353" s="48"/>
      <c r="S353" s="25"/>
    </row>
    <row r="354" spans="12:19" ht="12.75">
      <c r="L354" s="25"/>
      <c r="M354" s="48"/>
      <c r="N354" s="47"/>
      <c r="O354" s="47"/>
      <c r="P354" s="25"/>
      <c r="Q354" s="48"/>
      <c r="S354" s="25"/>
    </row>
    <row r="355" spans="12:19" ht="12.75">
      <c r="L355" s="25"/>
      <c r="M355" s="48"/>
      <c r="N355" s="47"/>
      <c r="O355" s="47"/>
      <c r="P355" s="25"/>
      <c r="Q355" s="48"/>
      <c r="S355" s="25"/>
    </row>
    <row r="356" spans="12:19" ht="12.75">
      <c r="L356" s="25"/>
      <c r="M356" s="48"/>
      <c r="N356" s="47"/>
      <c r="O356" s="47"/>
      <c r="P356" s="25"/>
      <c r="Q356" s="48"/>
      <c r="S356" s="25"/>
    </row>
    <row r="357" spans="12:19" ht="12.75">
      <c r="L357" s="25"/>
      <c r="M357" s="48"/>
      <c r="N357" s="47"/>
      <c r="O357" s="47"/>
      <c r="P357" s="25"/>
      <c r="Q357" s="48"/>
      <c r="S357" s="25"/>
    </row>
    <row r="358" spans="12:19" ht="12.75">
      <c r="L358" s="25"/>
      <c r="M358" s="48"/>
      <c r="N358" s="47"/>
      <c r="O358" s="47"/>
      <c r="P358" s="25"/>
      <c r="Q358" s="48"/>
      <c r="S358" s="25"/>
    </row>
    <row r="359" spans="12:19" ht="12.75">
      <c r="L359" s="25"/>
      <c r="M359" s="48"/>
      <c r="N359" s="47"/>
      <c r="O359" s="47"/>
      <c r="P359" s="25"/>
      <c r="Q359" s="48"/>
      <c r="S359" s="25"/>
    </row>
    <row r="360" spans="12:19" ht="12.75">
      <c r="L360" s="25"/>
      <c r="M360" s="48"/>
      <c r="N360" s="47"/>
      <c r="O360" s="47"/>
      <c r="P360" s="25"/>
      <c r="Q360" s="48"/>
      <c r="S360" s="25"/>
    </row>
    <row r="361" spans="12:19" ht="12.75">
      <c r="L361" s="25"/>
      <c r="M361" s="48"/>
      <c r="N361" s="47"/>
      <c r="O361" s="47"/>
      <c r="P361" s="25"/>
      <c r="Q361" s="48"/>
      <c r="S361" s="25"/>
    </row>
    <row r="362" spans="12:19" ht="12.75">
      <c r="L362" s="25"/>
      <c r="M362" s="48"/>
      <c r="N362" s="47"/>
      <c r="O362" s="47"/>
      <c r="P362" s="25"/>
      <c r="Q362" s="48"/>
      <c r="S362" s="25"/>
    </row>
    <row r="363" spans="12:19" ht="12.75">
      <c r="L363" s="25"/>
      <c r="M363" s="48"/>
      <c r="N363" s="47"/>
      <c r="O363" s="47"/>
      <c r="P363" s="25"/>
      <c r="Q363" s="48"/>
      <c r="S363" s="25"/>
    </row>
    <row r="364" spans="12:19" ht="12.75">
      <c r="L364" s="25"/>
      <c r="M364" s="48"/>
      <c r="N364" s="47"/>
      <c r="O364" s="47"/>
      <c r="P364" s="25"/>
      <c r="Q364" s="48"/>
      <c r="S364" s="25"/>
    </row>
    <row r="365" spans="12:19" ht="12.75">
      <c r="L365" s="25"/>
      <c r="M365" s="48"/>
      <c r="N365" s="47"/>
      <c r="O365" s="47"/>
      <c r="P365" s="25"/>
      <c r="Q365" s="48"/>
      <c r="S365" s="25"/>
    </row>
    <row r="366" spans="12:19" ht="12.75">
      <c r="L366" s="25"/>
      <c r="M366" s="48"/>
      <c r="N366" s="47"/>
      <c r="O366" s="47"/>
      <c r="P366" s="25"/>
      <c r="Q366" s="48"/>
      <c r="S366" s="25"/>
    </row>
    <row r="367" spans="12:19" ht="12.75">
      <c r="L367" s="25"/>
      <c r="M367" s="48"/>
      <c r="N367" s="47"/>
      <c r="O367" s="47"/>
      <c r="P367" s="25"/>
      <c r="Q367" s="48"/>
      <c r="S367" s="25"/>
    </row>
    <row r="368" spans="12:19" ht="12.75">
      <c r="L368" s="25"/>
      <c r="M368" s="48"/>
      <c r="N368" s="47"/>
      <c r="O368" s="47"/>
      <c r="P368" s="25"/>
      <c r="Q368" s="48"/>
      <c r="S368" s="25"/>
    </row>
    <row r="369" spans="12:19" ht="12.75">
      <c r="L369" s="25"/>
      <c r="M369" s="48"/>
      <c r="N369" s="47"/>
      <c r="O369" s="47"/>
      <c r="P369" s="25"/>
      <c r="Q369" s="48"/>
      <c r="S369" s="25"/>
    </row>
    <row r="370" spans="12:19" ht="12.75">
      <c r="L370" s="25"/>
      <c r="M370" s="48"/>
      <c r="N370" s="47"/>
      <c r="O370" s="47"/>
      <c r="P370" s="25"/>
      <c r="Q370" s="48"/>
      <c r="S370" s="25"/>
    </row>
    <row r="371" spans="12:19" ht="12.75">
      <c r="L371" s="25"/>
      <c r="M371" s="48"/>
      <c r="N371" s="47"/>
      <c r="O371" s="47"/>
      <c r="P371" s="25"/>
      <c r="Q371" s="48"/>
      <c r="S371" s="25"/>
    </row>
    <row r="372" spans="12:19" ht="12.75">
      <c r="L372" s="25"/>
      <c r="M372" s="48"/>
      <c r="N372" s="47"/>
      <c r="O372" s="47"/>
      <c r="P372" s="25"/>
      <c r="Q372" s="48"/>
      <c r="S372" s="25"/>
    </row>
    <row r="373" spans="12:19" ht="12.75">
      <c r="L373" s="25"/>
      <c r="M373" s="48"/>
      <c r="N373" s="47"/>
      <c r="O373" s="47"/>
      <c r="P373" s="25"/>
      <c r="Q373" s="48"/>
      <c r="S373" s="25"/>
    </row>
    <row r="374" spans="12:19" ht="12.75">
      <c r="L374" s="25"/>
      <c r="M374" s="48"/>
      <c r="N374" s="47"/>
      <c r="O374" s="47"/>
      <c r="P374" s="25"/>
      <c r="Q374" s="48"/>
      <c r="S374" s="25"/>
    </row>
    <row r="375" spans="12:19" ht="12.75">
      <c r="L375" s="25"/>
      <c r="M375" s="48"/>
      <c r="N375" s="47"/>
      <c r="O375" s="47"/>
      <c r="P375" s="25"/>
      <c r="Q375" s="48"/>
      <c r="S375" s="25"/>
    </row>
    <row r="376" spans="12:19" ht="12.75">
      <c r="L376" s="25"/>
      <c r="M376" s="48"/>
      <c r="N376" s="47"/>
      <c r="O376" s="47"/>
      <c r="P376" s="25"/>
      <c r="Q376" s="48"/>
      <c r="S376" s="25"/>
    </row>
    <row r="377" spans="12:19" ht="12.75">
      <c r="L377" s="25"/>
      <c r="M377" s="48"/>
      <c r="N377" s="47"/>
      <c r="O377" s="47"/>
      <c r="P377" s="25"/>
      <c r="Q377" s="48"/>
      <c r="S377" s="25"/>
    </row>
    <row r="378" spans="12:19" ht="12.75">
      <c r="L378" s="25"/>
      <c r="M378" s="48"/>
      <c r="N378" s="47"/>
      <c r="O378" s="47"/>
      <c r="P378" s="25"/>
      <c r="Q378" s="48"/>
      <c r="S378" s="25"/>
    </row>
    <row r="379" spans="12:19" ht="12.75">
      <c r="L379" s="25"/>
      <c r="M379" s="48"/>
      <c r="N379" s="47"/>
      <c r="O379" s="47"/>
      <c r="P379" s="25"/>
      <c r="Q379" s="48"/>
      <c r="S379" s="25"/>
    </row>
    <row r="380" spans="12:19" ht="12.75">
      <c r="L380" s="25"/>
      <c r="M380" s="48"/>
      <c r="N380" s="47"/>
      <c r="O380" s="47"/>
      <c r="P380" s="25"/>
      <c r="Q380" s="48"/>
      <c r="S380" s="25"/>
    </row>
    <row r="381" spans="12:19" ht="12.75">
      <c r="L381" s="25"/>
      <c r="M381" s="48"/>
      <c r="N381" s="47"/>
      <c r="O381" s="47"/>
      <c r="P381" s="25"/>
      <c r="Q381" s="48"/>
      <c r="S381" s="25"/>
    </row>
    <row r="382" spans="12:19" ht="12.75">
      <c r="L382" s="25"/>
      <c r="M382" s="48"/>
      <c r="N382" s="47"/>
      <c r="O382" s="47"/>
      <c r="P382" s="25"/>
      <c r="Q382" s="48"/>
      <c r="S382" s="25"/>
    </row>
    <row r="383" spans="12:19" ht="12.75">
      <c r="L383" s="25"/>
      <c r="M383" s="48"/>
      <c r="N383" s="47"/>
      <c r="O383" s="47"/>
      <c r="P383" s="25"/>
      <c r="Q383" s="48"/>
      <c r="S383" s="25"/>
    </row>
    <row r="384" spans="12:19" ht="12.75">
      <c r="L384" s="25"/>
      <c r="M384" s="48"/>
      <c r="N384" s="47"/>
      <c r="O384" s="47"/>
      <c r="P384" s="25"/>
      <c r="Q384" s="48"/>
      <c r="S384" s="25"/>
    </row>
    <row r="385" spans="12:19" ht="12.75">
      <c r="L385" s="25"/>
      <c r="M385" s="48"/>
      <c r="N385" s="47"/>
      <c r="O385" s="47"/>
      <c r="P385" s="25"/>
      <c r="Q385" s="48"/>
      <c r="S385" s="25"/>
    </row>
    <row r="386" spans="12:19" ht="12.75">
      <c r="L386" s="25"/>
      <c r="M386" s="48"/>
      <c r="N386" s="47"/>
      <c r="O386" s="47"/>
      <c r="P386" s="25"/>
      <c r="Q386" s="48"/>
      <c r="S386" s="25"/>
    </row>
    <row r="387" spans="12:19" ht="12.75">
      <c r="L387" s="25"/>
      <c r="M387" s="48"/>
      <c r="N387" s="47"/>
      <c r="O387" s="47"/>
      <c r="P387" s="25"/>
      <c r="Q387" s="48"/>
      <c r="S387" s="25"/>
    </row>
    <row r="388" spans="12:19" ht="12.75">
      <c r="L388" s="25"/>
      <c r="M388" s="48"/>
      <c r="N388" s="47"/>
      <c r="O388" s="47"/>
      <c r="P388" s="25"/>
      <c r="Q388" s="48"/>
      <c r="S388" s="25"/>
    </row>
    <row r="389" spans="12:19" ht="12.75">
      <c r="L389" s="25"/>
      <c r="M389" s="48"/>
      <c r="N389" s="47"/>
      <c r="O389" s="47"/>
      <c r="P389" s="25"/>
      <c r="Q389" s="48"/>
      <c r="S389" s="25"/>
    </row>
    <row r="390" spans="12:19" ht="12.75">
      <c r="L390" s="25"/>
      <c r="M390" s="48"/>
      <c r="N390" s="47"/>
      <c r="O390" s="47"/>
      <c r="P390" s="25"/>
      <c r="Q390" s="48"/>
      <c r="S390" s="25"/>
    </row>
    <row r="391" spans="12:19" ht="12.75">
      <c r="L391" s="25"/>
      <c r="M391" s="48"/>
      <c r="N391" s="47"/>
      <c r="O391" s="47"/>
      <c r="P391" s="25"/>
      <c r="Q391" s="48"/>
      <c r="S391" s="25"/>
    </row>
    <row r="392" spans="12:19" ht="12.75">
      <c r="L392" s="25"/>
      <c r="M392" s="48"/>
      <c r="N392" s="47"/>
      <c r="O392" s="47"/>
      <c r="P392" s="25"/>
      <c r="Q392" s="48"/>
      <c r="S392" s="25"/>
    </row>
    <row r="393" spans="12:19" ht="12.75">
      <c r="L393" s="25"/>
      <c r="M393" s="48"/>
      <c r="N393" s="47"/>
      <c r="O393" s="47"/>
      <c r="P393" s="25"/>
      <c r="Q393" s="48"/>
      <c r="S393" s="25"/>
    </row>
    <row r="394" spans="12:19" ht="12.75">
      <c r="L394" s="25"/>
      <c r="M394" s="48"/>
      <c r="N394" s="47"/>
      <c r="O394" s="47"/>
      <c r="P394" s="25"/>
      <c r="Q394" s="48"/>
      <c r="S394" s="25"/>
    </row>
    <row r="395" spans="12:19" ht="12.75">
      <c r="L395" s="25"/>
      <c r="M395" s="48"/>
      <c r="N395" s="47"/>
      <c r="O395" s="47"/>
      <c r="P395" s="25"/>
      <c r="Q395" s="48"/>
      <c r="S395" s="25"/>
    </row>
    <row r="396" spans="12:19" ht="12.75">
      <c r="L396" s="25"/>
      <c r="M396" s="48"/>
      <c r="N396" s="47"/>
      <c r="O396" s="47"/>
      <c r="P396" s="25"/>
      <c r="Q396" s="48"/>
      <c r="S396" s="25"/>
    </row>
    <row r="397" spans="12:19" ht="12.75">
      <c r="L397" s="25"/>
      <c r="M397" s="48"/>
      <c r="N397" s="47"/>
      <c r="O397" s="47"/>
      <c r="P397" s="25"/>
      <c r="Q397" s="48"/>
      <c r="S397" s="25"/>
    </row>
    <row r="398" spans="12:19" ht="12.75">
      <c r="L398" s="25"/>
      <c r="M398" s="48"/>
      <c r="N398" s="47"/>
      <c r="O398" s="47"/>
      <c r="P398" s="25"/>
      <c r="Q398" s="48"/>
      <c r="S398" s="25"/>
    </row>
    <row r="399" spans="12:19" ht="12.75">
      <c r="L399" s="25"/>
      <c r="M399" s="48"/>
      <c r="N399" s="47"/>
      <c r="O399" s="47"/>
      <c r="P399" s="25"/>
      <c r="Q399" s="48"/>
      <c r="S399" s="25"/>
    </row>
    <row r="400" spans="12:19" ht="12.75">
      <c r="L400" s="25"/>
      <c r="M400" s="48"/>
      <c r="N400" s="47"/>
      <c r="O400" s="47"/>
      <c r="P400" s="25"/>
      <c r="Q400" s="48"/>
      <c r="S400" s="25"/>
    </row>
    <row r="401" spans="12:19" ht="12.75">
      <c r="L401" s="25"/>
      <c r="M401" s="48"/>
      <c r="N401" s="47"/>
      <c r="O401" s="47"/>
      <c r="P401" s="25"/>
      <c r="Q401" s="48"/>
      <c r="S401" s="25"/>
    </row>
    <row r="402" spans="12:19" ht="12.75">
      <c r="L402" s="25"/>
      <c r="M402" s="48"/>
      <c r="N402" s="47"/>
      <c r="O402" s="47"/>
      <c r="P402" s="25"/>
      <c r="Q402" s="48"/>
      <c r="S402" s="25"/>
    </row>
    <row r="403" spans="12:19" ht="12.75">
      <c r="L403" s="25"/>
      <c r="M403" s="48"/>
      <c r="N403" s="47"/>
      <c r="O403" s="47"/>
      <c r="P403" s="25"/>
      <c r="Q403" s="48"/>
      <c r="S403" s="25"/>
    </row>
    <row r="404" spans="12:19" ht="12.75">
      <c r="L404" s="25"/>
      <c r="M404" s="48"/>
      <c r="N404" s="47"/>
      <c r="O404" s="47"/>
      <c r="P404" s="25"/>
      <c r="Q404" s="48"/>
      <c r="S404" s="25"/>
    </row>
    <row r="405" spans="12:19" ht="12.75">
      <c r="L405" s="25"/>
      <c r="M405" s="48"/>
      <c r="N405" s="47"/>
      <c r="O405" s="47"/>
      <c r="P405" s="25"/>
      <c r="Q405" s="48"/>
      <c r="S405" s="25"/>
    </row>
    <row r="406" spans="12:19" ht="12.75">
      <c r="L406" s="25"/>
      <c r="M406" s="48"/>
      <c r="N406" s="47"/>
      <c r="O406" s="47"/>
      <c r="P406" s="25"/>
      <c r="Q406" s="48"/>
      <c r="S406" s="25"/>
    </row>
    <row r="407" spans="12:19" ht="12.75">
      <c r="L407" s="25"/>
      <c r="M407" s="48"/>
      <c r="N407" s="47"/>
      <c r="O407" s="47"/>
      <c r="P407" s="25"/>
      <c r="Q407" s="48"/>
      <c r="S407" s="25"/>
    </row>
    <row r="408" spans="12:19" ht="12.75">
      <c r="L408" s="25"/>
      <c r="M408" s="48"/>
      <c r="N408" s="47"/>
      <c r="O408" s="47"/>
      <c r="P408" s="25"/>
      <c r="Q408" s="48"/>
      <c r="S408" s="25"/>
    </row>
    <row r="409" spans="12:19" ht="12.75">
      <c r="L409" s="25"/>
      <c r="M409" s="48"/>
      <c r="N409" s="47"/>
      <c r="O409" s="47"/>
      <c r="P409" s="25"/>
      <c r="Q409" s="48"/>
      <c r="S409" s="25"/>
    </row>
    <row r="410" spans="12:19" ht="12.75">
      <c r="L410" s="25"/>
      <c r="M410" s="48"/>
      <c r="N410" s="47"/>
      <c r="O410" s="47"/>
      <c r="P410" s="25"/>
      <c r="Q410" s="48"/>
      <c r="S410" s="25"/>
    </row>
    <row r="411" spans="12:19" ht="12.75">
      <c r="L411" s="25"/>
      <c r="M411" s="48"/>
      <c r="N411" s="47"/>
      <c r="O411" s="47"/>
      <c r="P411" s="25"/>
      <c r="Q411" s="48"/>
      <c r="S411" s="25"/>
    </row>
    <row r="412" spans="12:19" ht="12.75">
      <c r="L412" s="25"/>
      <c r="M412" s="48"/>
      <c r="N412" s="47"/>
      <c r="O412" s="47"/>
      <c r="P412" s="25"/>
      <c r="Q412" s="48"/>
      <c r="S412" s="25"/>
    </row>
    <row r="413" spans="12:19" ht="12.75">
      <c r="L413" s="25"/>
      <c r="M413" s="48"/>
      <c r="N413" s="47"/>
      <c r="O413" s="47"/>
      <c r="P413" s="25"/>
      <c r="Q413" s="48"/>
      <c r="S413" s="25"/>
    </row>
    <row r="414" spans="12:19" ht="12.75">
      <c r="L414" s="25"/>
      <c r="M414" s="48"/>
      <c r="N414" s="47"/>
      <c r="O414" s="47"/>
      <c r="P414" s="25"/>
      <c r="Q414" s="48"/>
      <c r="S414" s="25"/>
    </row>
    <row r="415" spans="12:19" ht="12.75">
      <c r="L415" s="25"/>
      <c r="M415" s="48"/>
      <c r="N415" s="47"/>
      <c r="O415" s="47"/>
      <c r="P415" s="25"/>
      <c r="Q415" s="48"/>
      <c r="S415" s="25"/>
    </row>
    <row r="416" spans="12:19" ht="12.75">
      <c r="L416" s="25"/>
      <c r="M416" s="48"/>
      <c r="N416" s="47"/>
      <c r="O416" s="47"/>
      <c r="P416" s="25"/>
      <c r="Q416" s="48"/>
      <c r="S416" s="25"/>
    </row>
    <row r="417" spans="12:19" ht="12.75">
      <c r="L417" s="25"/>
      <c r="M417" s="48"/>
      <c r="N417" s="47"/>
      <c r="O417" s="47"/>
      <c r="P417" s="25"/>
      <c r="Q417" s="48"/>
      <c r="S417" s="25"/>
    </row>
    <row r="418" spans="12:19" ht="12.75">
      <c r="L418" s="25"/>
      <c r="M418" s="48"/>
      <c r="N418" s="47"/>
      <c r="O418" s="47"/>
      <c r="P418" s="25"/>
      <c r="Q418" s="48"/>
      <c r="S418" s="25"/>
    </row>
    <row r="419" spans="12:19" ht="12.75">
      <c r="L419" s="25"/>
      <c r="M419" s="48"/>
      <c r="N419" s="47"/>
      <c r="O419" s="47"/>
      <c r="P419" s="25"/>
      <c r="Q419" s="48"/>
      <c r="S419" s="25"/>
    </row>
    <row r="420" spans="12:19" ht="12.75">
      <c r="L420" s="25"/>
      <c r="M420" s="48"/>
      <c r="N420" s="47"/>
      <c r="O420" s="47"/>
      <c r="P420" s="25"/>
      <c r="Q420" s="48"/>
      <c r="S420" s="25"/>
    </row>
    <row r="421" spans="12:19" ht="12.75">
      <c r="L421" s="25"/>
      <c r="M421" s="48"/>
      <c r="N421" s="47"/>
      <c r="O421" s="47"/>
      <c r="P421" s="25"/>
      <c r="Q421" s="48"/>
      <c r="S421" s="25"/>
    </row>
    <row r="422" spans="12:19" ht="12.75">
      <c r="L422" s="25"/>
      <c r="M422" s="48"/>
      <c r="N422" s="47"/>
      <c r="O422" s="47"/>
      <c r="P422" s="25"/>
      <c r="Q422" s="48"/>
      <c r="S422" s="25"/>
    </row>
    <row r="423" spans="12:19" ht="12.75">
      <c r="L423" s="25"/>
      <c r="M423" s="48"/>
      <c r="N423" s="47"/>
      <c r="O423" s="47"/>
      <c r="P423" s="25"/>
      <c r="Q423" s="48"/>
      <c r="S423" s="25"/>
    </row>
    <row r="424" spans="12:19" ht="12.75">
      <c r="L424" s="25"/>
      <c r="M424" s="48"/>
      <c r="N424" s="47"/>
      <c r="O424" s="47"/>
      <c r="P424" s="25"/>
      <c r="Q424" s="48"/>
      <c r="S424" s="25"/>
    </row>
    <row r="425" spans="12:19" ht="12.75">
      <c r="L425" s="25"/>
      <c r="M425" s="48"/>
      <c r="N425" s="47"/>
      <c r="O425" s="47"/>
      <c r="P425" s="25"/>
      <c r="Q425" s="48"/>
      <c r="S425" s="25"/>
    </row>
    <row r="426" spans="12:19" ht="12.75">
      <c r="L426" s="25"/>
      <c r="M426" s="48"/>
      <c r="N426" s="47"/>
      <c r="O426" s="47"/>
      <c r="P426" s="25"/>
      <c r="Q426" s="48"/>
      <c r="S426" s="25"/>
    </row>
    <row r="427" spans="12:19" ht="12.75">
      <c r="L427" s="25"/>
      <c r="M427" s="48"/>
      <c r="N427" s="47"/>
      <c r="O427" s="47"/>
      <c r="P427" s="25"/>
      <c r="Q427" s="48"/>
      <c r="S427" s="25"/>
    </row>
    <row r="428" spans="12:19" ht="12.75">
      <c r="L428" s="25"/>
      <c r="M428" s="48"/>
      <c r="N428" s="47"/>
      <c r="O428" s="47"/>
      <c r="P428" s="25"/>
      <c r="Q428" s="48"/>
      <c r="S428" s="25"/>
    </row>
    <row r="429" spans="12:19" ht="12.75">
      <c r="L429" s="25"/>
      <c r="M429" s="48"/>
      <c r="N429" s="47"/>
      <c r="O429" s="47"/>
      <c r="P429" s="25"/>
      <c r="Q429" s="48"/>
      <c r="S429" s="25"/>
    </row>
    <row r="430" spans="12:19" ht="12.75">
      <c r="L430" s="25"/>
      <c r="M430" s="48"/>
      <c r="N430" s="47"/>
      <c r="O430" s="47"/>
      <c r="P430" s="25"/>
      <c r="Q430" s="48"/>
      <c r="S430" s="25"/>
    </row>
    <row r="431" spans="12:19" ht="12.75">
      <c r="L431" s="25"/>
      <c r="M431" s="48"/>
      <c r="N431" s="47"/>
      <c r="O431" s="47"/>
      <c r="P431" s="25"/>
      <c r="Q431" s="48"/>
      <c r="S431" s="25"/>
    </row>
    <row r="432" spans="12:19" ht="12.75">
      <c r="L432" s="25"/>
      <c r="M432" s="48"/>
      <c r="N432" s="47"/>
      <c r="O432" s="47"/>
      <c r="P432" s="25"/>
      <c r="Q432" s="48"/>
      <c r="S432" s="25"/>
    </row>
    <row r="433" spans="12:19" ht="12.75">
      <c r="L433" s="25"/>
      <c r="M433" s="48"/>
      <c r="N433" s="47"/>
      <c r="O433" s="47"/>
      <c r="P433" s="25"/>
      <c r="Q433" s="48"/>
      <c r="S433" s="25"/>
    </row>
    <row r="434" spans="12:19" ht="12.75">
      <c r="L434" s="25"/>
      <c r="M434" s="48"/>
      <c r="N434" s="47"/>
      <c r="O434" s="47"/>
      <c r="P434" s="25"/>
      <c r="Q434" s="48"/>
      <c r="S434" s="25"/>
    </row>
    <row r="435" spans="12:19" ht="12.75">
      <c r="L435" s="25"/>
      <c r="M435" s="48"/>
      <c r="N435" s="47"/>
      <c r="O435" s="47"/>
      <c r="P435" s="25"/>
      <c r="Q435" s="48"/>
      <c r="S435" s="25"/>
    </row>
    <row r="436" spans="12:19" ht="12.75">
      <c r="L436" s="25"/>
      <c r="M436" s="48"/>
      <c r="N436" s="47"/>
      <c r="O436" s="47"/>
      <c r="P436" s="25"/>
      <c r="Q436" s="48"/>
      <c r="S436" s="25"/>
    </row>
    <row r="437" spans="12:19" ht="12.75">
      <c r="L437" s="25"/>
      <c r="M437" s="48"/>
      <c r="N437" s="47"/>
      <c r="O437" s="47"/>
      <c r="P437" s="25"/>
      <c r="Q437" s="48"/>
      <c r="S437" s="25"/>
    </row>
    <row r="438" spans="12:19" ht="12.75">
      <c r="L438" s="25"/>
      <c r="M438" s="48"/>
      <c r="N438" s="47"/>
      <c r="O438" s="47"/>
      <c r="P438" s="25"/>
      <c r="Q438" s="48"/>
      <c r="S438" s="25"/>
    </row>
    <row r="439" spans="12:19" ht="12.75">
      <c r="L439" s="25"/>
      <c r="M439" s="48"/>
      <c r="N439" s="47"/>
      <c r="O439" s="47"/>
      <c r="P439" s="25"/>
      <c r="Q439" s="48"/>
      <c r="S439" s="25"/>
    </row>
    <row r="440" spans="12:19" ht="12.75">
      <c r="L440" s="25"/>
      <c r="M440" s="48"/>
      <c r="N440" s="47"/>
      <c r="O440" s="47"/>
      <c r="P440" s="25"/>
      <c r="Q440" s="48"/>
      <c r="S440" s="25"/>
    </row>
    <row r="441" spans="12:19" ht="12.75">
      <c r="L441" s="25"/>
      <c r="M441" s="48"/>
      <c r="N441" s="47"/>
      <c r="O441" s="47"/>
      <c r="P441" s="25"/>
      <c r="Q441" s="48"/>
      <c r="S441" s="25"/>
    </row>
    <row r="442" spans="12:19" ht="12.75">
      <c r="L442" s="25"/>
      <c r="M442" s="48"/>
      <c r="N442" s="47"/>
      <c r="O442" s="47"/>
      <c r="P442" s="25"/>
      <c r="Q442" s="48"/>
      <c r="S442" s="25"/>
    </row>
    <row r="443" spans="12:19" ht="12.75">
      <c r="L443" s="25"/>
      <c r="M443" s="48"/>
      <c r="N443" s="47"/>
      <c r="O443" s="47"/>
      <c r="P443" s="25"/>
      <c r="Q443" s="48"/>
      <c r="S443" s="25"/>
    </row>
    <row r="444" spans="12:19" ht="12.75">
      <c r="L444" s="25"/>
      <c r="M444" s="48"/>
      <c r="N444" s="47"/>
      <c r="O444" s="47"/>
      <c r="P444" s="25"/>
      <c r="Q444" s="48"/>
      <c r="S444" s="25"/>
    </row>
    <row r="445" spans="12:19" ht="12.75">
      <c r="L445" s="25"/>
      <c r="M445" s="48"/>
      <c r="N445" s="47"/>
      <c r="O445" s="47"/>
      <c r="P445" s="25"/>
      <c r="Q445" s="48"/>
      <c r="S445" s="25"/>
    </row>
    <row r="446" spans="12:19" ht="12.75">
      <c r="L446" s="25"/>
      <c r="M446" s="48"/>
      <c r="N446" s="47"/>
      <c r="O446" s="47"/>
      <c r="P446" s="25"/>
      <c r="Q446" s="48"/>
      <c r="S446" s="25"/>
    </row>
    <row r="447" spans="12:19" ht="12.75">
      <c r="L447" s="25"/>
      <c r="M447" s="48"/>
      <c r="N447" s="47"/>
      <c r="O447" s="47"/>
      <c r="P447" s="25"/>
      <c r="Q447" s="48"/>
      <c r="S447" s="25"/>
    </row>
    <row r="448" spans="12:19" ht="12.75">
      <c r="L448" s="25"/>
      <c r="M448" s="48"/>
      <c r="N448" s="47"/>
      <c r="O448" s="47"/>
      <c r="P448" s="25"/>
      <c r="Q448" s="48"/>
      <c r="S448" s="25"/>
    </row>
    <row r="449" spans="12:19" ht="12.75">
      <c r="L449" s="25"/>
      <c r="M449" s="48"/>
      <c r="N449" s="47"/>
      <c r="O449" s="47"/>
      <c r="P449" s="25"/>
      <c r="Q449" s="48"/>
      <c r="S449" s="25"/>
    </row>
    <row r="450" spans="12:19" ht="12.75">
      <c r="L450" s="25"/>
      <c r="M450" s="48"/>
      <c r="N450" s="47"/>
      <c r="O450" s="47"/>
      <c r="P450" s="25"/>
      <c r="Q450" s="48"/>
      <c r="S450" s="25"/>
    </row>
    <row r="451" spans="12:19" ht="12.75">
      <c r="L451" s="25"/>
      <c r="M451" s="48"/>
      <c r="N451" s="47"/>
      <c r="O451" s="47"/>
      <c r="P451" s="25"/>
      <c r="Q451" s="48"/>
      <c r="S451" s="25"/>
    </row>
    <row r="452" spans="12:19" ht="12.75">
      <c r="L452" s="25"/>
      <c r="M452" s="48"/>
      <c r="N452" s="47"/>
      <c r="O452" s="47"/>
      <c r="P452" s="25"/>
      <c r="Q452" s="48"/>
      <c r="S452" s="25"/>
    </row>
    <row r="453" spans="12:19" ht="12.75">
      <c r="L453" s="25"/>
      <c r="M453" s="48"/>
      <c r="N453" s="47"/>
      <c r="O453" s="47"/>
      <c r="P453" s="25"/>
      <c r="Q453" s="48"/>
      <c r="S453" s="25"/>
    </row>
    <row r="454" spans="12:19" ht="12.75">
      <c r="L454" s="25"/>
      <c r="M454" s="48"/>
      <c r="N454" s="47"/>
      <c r="O454" s="47"/>
      <c r="P454" s="25"/>
      <c r="Q454" s="48"/>
      <c r="S454" s="25"/>
    </row>
    <row r="455" spans="12:19" ht="12.75">
      <c r="L455" s="25"/>
      <c r="M455" s="48"/>
      <c r="N455" s="47"/>
      <c r="O455" s="47"/>
      <c r="P455" s="25"/>
      <c r="Q455" s="48"/>
      <c r="S455" s="25"/>
    </row>
    <row r="456" spans="12:19" ht="12.75">
      <c r="L456" s="25"/>
      <c r="M456" s="48"/>
      <c r="N456" s="47"/>
      <c r="O456" s="47"/>
      <c r="P456" s="25"/>
      <c r="Q456" s="48"/>
      <c r="S456" s="25"/>
    </row>
    <row r="457" spans="12:19" ht="12.75">
      <c r="L457" s="25"/>
      <c r="M457" s="48"/>
      <c r="N457" s="47"/>
      <c r="O457" s="47"/>
      <c r="P457" s="25"/>
      <c r="Q457" s="48"/>
      <c r="S457" s="25"/>
    </row>
    <row r="458" spans="12:19" ht="12.75">
      <c r="L458" s="25"/>
      <c r="M458" s="48"/>
      <c r="N458" s="47"/>
      <c r="O458" s="47"/>
      <c r="P458" s="25"/>
      <c r="Q458" s="48"/>
      <c r="S458" s="25"/>
    </row>
    <row r="459" spans="12:19" ht="12.75">
      <c r="L459" s="25"/>
      <c r="M459" s="48"/>
      <c r="N459" s="47"/>
      <c r="O459" s="47"/>
      <c r="P459" s="25"/>
      <c r="Q459" s="48"/>
      <c r="S459" s="25"/>
    </row>
    <row r="460" spans="12:19" ht="12.75">
      <c r="L460" s="25"/>
      <c r="M460" s="48"/>
      <c r="N460" s="47"/>
      <c r="O460" s="47"/>
      <c r="P460" s="25"/>
      <c r="Q460" s="48"/>
      <c r="S460" s="25"/>
    </row>
    <row r="461" spans="12:19" ht="12.75">
      <c r="L461" s="25"/>
      <c r="M461" s="48"/>
      <c r="N461" s="47"/>
      <c r="O461" s="47"/>
      <c r="P461" s="25"/>
      <c r="Q461" s="48"/>
      <c r="S461" s="25"/>
    </row>
    <row r="462" spans="12:19" ht="12.75">
      <c r="L462" s="25"/>
      <c r="M462" s="48"/>
      <c r="N462" s="47"/>
      <c r="O462" s="47"/>
      <c r="P462" s="25"/>
      <c r="Q462" s="48"/>
      <c r="S462" s="25"/>
    </row>
    <row r="463" spans="12:19" ht="12.75">
      <c r="L463" s="25"/>
      <c r="M463" s="48"/>
      <c r="N463" s="47"/>
      <c r="O463" s="47"/>
      <c r="P463" s="25"/>
      <c r="Q463" s="48"/>
      <c r="S463" s="25"/>
    </row>
    <row r="464" spans="12:19" ht="12.75">
      <c r="L464" s="25"/>
      <c r="M464" s="48"/>
      <c r="N464" s="47"/>
      <c r="O464" s="47"/>
      <c r="P464" s="25"/>
      <c r="Q464" s="48"/>
      <c r="S464" s="25"/>
    </row>
    <row r="465" spans="12:19" ht="12.75">
      <c r="L465" s="25"/>
      <c r="M465" s="48"/>
      <c r="N465" s="47"/>
      <c r="O465" s="47"/>
      <c r="P465" s="25"/>
      <c r="Q465" s="48"/>
      <c r="S465" s="25"/>
    </row>
    <row r="466" spans="12:19" ht="12.75">
      <c r="L466" s="25"/>
      <c r="M466" s="48"/>
      <c r="N466" s="47"/>
      <c r="O466" s="47"/>
      <c r="P466" s="25"/>
      <c r="Q466" s="48"/>
      <c r="S466" s="25"/>
    </row>
    <row r="467" spans="12:19" ht="12.75">
      <c r="L467" s="25"/>
      <c r="M467" s="48"/>
      <c r="N467" s="47"/>
      <c r="O467" s="47"/>
      <c r="P467" s="25"/>
      <c r="Q467" s="48"/>
      <c r="S467" s="25"/>
    </row>
    <row r="468" spans="12:19" ht="12.75">
      <c r="L468" s="25"/>
      <c r="M468" s="48"/>
      <c r="N468" s="47"/>
      <c r="O468" s="47"/>
      <c r="P468" s="25"/>
      <c r="Q468" s="48"/>
      <c r="S468" s="25"/>
    </row>
    <row r="469" spans="12:19" ht="12.75">
      <c r="L469" s="25"/>
      <c r="M469" s="48"/>
      <c r="N469" s="47"/>
      <c r="O469" s="47"/>
      <c r="P469" s="25"/>
      <c r="Q469" s="48"/>
      <c r="S469" s="25"/>
    </row>
    <row r="470" spans="12:19" ht="12.75">
      <c r="L470" s="25"/>
      <c r="M470" s="48"/>
      <c r="N470" s="47"/>
      <c r="O470" s="47"/>
      <c r="P470" s="25"/>
      <c r="Q470" s="48"/>
      <c r="S470" s="25"/>
    </row>
    <row r="471" spans="12:19" ht="12.75">
      <c r="L471" s="25"/>
      <c r="M471" s="48"/>
      <c r="N471" s="47"/>
      <c r="O471" s="47"/>
      <c r="P471" s="25"/>
      <c r="Q471" s="48"/>
      <c r="S471" s="25"/>
    </row>
    <row r="472" spans="12:19" ht="12.75">
      <c r="L472" s="25"/>
      <c r="M472" s="48"/>
      <c r="N472" s="47"/>
      <c r="O472" s="47"/>
      <c r="P472" s="25"/>
      <c r="Q472" s="48"/>
      <c r="S472" s="25"/>
    </row>
    <row r="473" spans="12:19" ht="12.75">
      <c r="L473" s="25"/>
      <c r="M473" s="48"/>
      <c r="N473" s="47"/>
      <c r="O473" s="47"/>
      <c r="P473" s="25"/>
      <c r="Q473" s="48"/>
      <c r="S473" s="25"/>
    </row>
    <row r="474" spans="12:19" ht="12.75">
      <c r="L474" s="25"/>
      <c r="M474" s="48"/>
      <c r="N474" s="47"/>
      <c r="O474" s="47"/>
      <c r="P474" s="25"/>
      <c r="Q474" s="48"/>
      <c r="S474" s="25"/>
    </row>
    <row r="475" spans="12:19" ht="12.75">
      <c r="L475" s="25"/>
      <c r="M475" s="48"/>
      <c r="N475" s="47"/>
      <c r="O475" s="47"/>
      <c r="P475" s="25"/>
      <c r="Q475" s="48"/>
      <c r="S475" s="25"/>
    </row>
    <row r="476" spans="12:19" ht="12.75">
      <c r="L476" s="25"/>
      <c r="M476" s="48"/>
      <c r="N476" s="47"/>
      <c r="O476" s="47"/>
      <c r="P476" s="25"/>
      <c r="Q476" s="48"/>
      <c r="S476" s="25"/>
    </row>
    <row r="477" spans="12:19" ht="12.75">
      <c r="L477" s="25"/>
      <c r="M477" s="48"/>
      <c r="N477" s="47"/>
      <c r="O477" s="47"/>
      <c r="P477" s="25"/>
      <c r="Q477" s="48"/>
      <c r="S477" s="25"/>
    </row>
    <row r="478" spans="12:19" ht="12.75">
      <c r="L478" s="25"/>
      <c r="M478" s="48"/>
      <c r="N478" s="47"/>
      <c r="O478" s="47"/>
      <c r="P478" s="25"/>
      <c r="Q478" s="48"/>
      <c r="S478" s="25"/>
    </row>
    <row r="479" spans="12:19" ht="12.75">
      <c r="L479" s="25"/>
      <c r="M479" s="48"/>
      <c r="N479" s="47"/>
      <c r="O479" s="47"/>
      <c r="P479" s="25"/>
      <c r="Q479" s="48"/>
      <c r="S479" s="25"/>
    </row>
    <row r="480" spans="12:19" ht="12.75">
      <c r="L480" s="25"/>
      <c r="M480" s="48"/>
      <c r="N480" s="47"/>
      <c r="O480" s="47"/>
      <c r="P480" s="25"/>
      <c r="Q480" s="48"/>
      <c r="S480" s="25"/>
    </row>
    <row r="481" spans="12:19" ht="12.75">
      <c r="L481" s="25"/>
      <c r="M481" s="48"/>
      <c r="N481" s="47"/>
      <c r="O481" s="47"/>
      <c r="P481" s="25"/>
      <c r="Q481" s="48"/>
      <c r="S481" s="25"/>
    </row>
    <row r="482" spans="12:19" ht="12.75">
      <c r="L482" s="25"/>
      <c r="M482" s="48"/>
      <c r="N482" s="47"/>
      <c r="O482" s="47"/>
      <c r="P482" s="25"/>
      <c r="Q482" s="48"/>
      <c r="S482" s="25"/>
    </row>
    <row r="483" spans="12:19" ht="12.75">
      <c r="L483" s="25"/>
      <c r="M483" s="48"/>
      <c r="N483" s="47"/>
      <c r="O483" s="47"/>
      <c r="P483" s="25"/>
      <c r="Q483" s="48"/>
      <c r="S483" s="25"/>
    </row>
    <row r="484" spans="12:19" ht="12.75">
      <c r="L484" s="25"/>
      <c r="M484" s="48"/>
      <c r="N484" s="47"/>
      <c r="O484" s="47"/>
      <c r="P484" s="25"/>
      <c r="Q484" s="48"/>
      <c r="S484" s="25"/>
    </row>
    <row r="485" spans="12:19" ht="12.75">
      <c r="L485" s="25"/>
      <c r="M485" s="48"/>
      <c r="N485" s="47"/>
      <c r="O485" s="47"/>
      <c r="P485" s="25"/>
      <c r="Q485" s="48"/>
      <c r="S485" s="25"/>
    </row>
    <row r="486" spans="12:19" ht="12.75">
      <c r="L486" s="25"/>
      <c r="M486" s="48"/>
      <c r="N486" s="47"/>
      <c r="O486" s="47"/>
      <c r="P486" s="25"/>
      <c r="Q486" s="48"/>
      <c r="S486" s="25"/>
    </row>
    <row r="487" spans="12:19" ht="12.75">
      <c r="L487" s="25"/>
      <c r="M487" s="48"/>
      <c r="N487" s="47"/>
      <c r="O487" s="47"/>
      <c r="P487" s="25"/>
      <c r="Q487" s="48"/>
      <c r="S487" s="25"/>
    </row>
    <row r="488" spans="12:19" ht="12.75">
      <c r="L488" s="25"/>
      <c r="M488" s="48"/>
      <c r="N488" s="47"/>
      <c r="O488" s="47"/>
      <c r="P488" s="25"/>
      <c r="Q488" s="48"/>
      <c r="S488" s="25"/>
    </row>
    <row r="489" spans="12:19" ht="12.75">
      <c r="L489" s="25"/>
      <c r="M489" s="48"/>
      <c r="N489" s="47"/>
      <c r="O489" s="47"/>
      <c r="P489" s="25"/>
      <c r="Q489" s="48"/>
      <c r="S489" s="25"/>
    </row>
    <row r="490" spans="12:19" ht="12.75">
      <c r="L490" s="25"/>
      <c r="M490" s="48"/>
      <c r="N490" s="47"/>
      <c r="O490" s="47"/>
      <c r="P490" s="25"/>
      <c r="Q490" s="48"/>
      <c r="S490" s="25"/>
    </row>
    <row r="491" spans="12:19" ht="12.75">
      <c r="L491" s="25"/>
      <c r="M491" s="48"/>
      <c r="N491" s="47"/>
      <c r="O491" s="47"/>
      <c r="P491" s="25"/>
      <c r="Q491" s="48"/>
      <c r="S491" s="25"/>
    </row>
    <row r="492" spans="12:19" ht="12.75">
      <c r="L492" s="25"/>
      <c r="M492" s="48"/>
      <c r="N492" s="47"/>
      <c r="O492" s="47"/>
      <c r="P492" s="25"/>
      <c r="Q492" s="48"/>
      <c r="S492" s="25"/>
    </row>
    <row r="493" spans="12:19" ht="12.75">
      <c r="L493" s="25"/>
      <c r="M493" s="48"/>
      <c r="N493" s="47"/>
      <c r="O493" s="47"/>
      <c r="P493" s="25"/>
      <c r="Q493" s="48"/>
      <c r="S493" s="25"/>
    </row>
    <row r="494" spans="12:19" ht="12.75">
      <c r="L494" s="25"/>
      <c r="M494" s="48"/>
      <c r="N494" s="47"/>
      <c r="O494" s="47"/>
      <c r="P494" s="25"/>
      <c r="Q494" s="48"/>
      <c r="S494" s="25"/>
    </row>
    <row r="495" spans="12:19" ht="12.75">
      <c r="L495" s="25"/>
      <c r="M495" s="48"/>
      <c r="N495" s="47"/>
      <c r="O495" s="47"/>
      <c r="P495" s="25"/>
      <c r="Q495" s="48"/>
      <c r="S495" s="25"/>
    </row>
    <row r="496" spans="12:19" ht="12.75">
      <c r="L496" s="25"/>
      <c r="M496" s="48"/>
      <c r="N496" s="47"/>
      <c r="O496" s="47"/>
      <c r="P496" s="25"/>
      <c r="Q496" s="48"/>
      <c r="S496" s="25"/>
    </row>
    <row r="497" spans="12:19" ht="12.75">
      <c r="L497" s="25"/>
      <c r="M497" s="48"/>
      <c r="N497" s="47"/>
      <c r="O497" s="47"/>
      <c r="P497" s="25"/>
      <c r="Q497" s="48"/>
      <c r="S497" s="25"/>
    </row>
    <row r="498" spans="12:19" ht="12.75">
      <c r="L498" s="25"/>
      <c r="M498" s="48"/>
      <c r="N498" s="47"/>
      <c r="O498" s="47"/>
      <c r="P498" s="25"/>
      <c r="Q498" s="48"/>
      <c r="S498" s="25"/>
    </row>
    <row r="499" spans="12:19" ht="12.75">
      <c r="L499" s="25"/>
      <c r="M499" s="48"/>
      <c r="N499" s="47"/>
      <c r="O499" s="47"/>
      <c r="P499" s="25"/>
      <c r="Q499" s="48"/>
      <c r="S499" s="25"/>
    </row>
    <row r="500" spans="12:19" ht="12.75">
      <c r="L500" s="25"/>
      <c r="M500" s="48"/>
      <c r="N500" s="47"/>
      <c r="O500" s="47"/>
      <c r="P500" s="25"/>
      <c r="Q500" s="48"/>
      <c r="S500" s="25"/>
    </row>
    <row r="501" spans="12:19" ht="12.75">
      <c r="L501" s="25"/>
      <c r="M501" s="48"/>
      <c r="N501" s="47"/>
      <c r="O501" s="47"/>
      <c r="P501" s="25"/>
      <c r="Q501" s="48"/>
      <c r="S501" s="25"/>
    </row>
    <row r="502" spans="12:19" ht="12.75">
      <c r="L502" s="25"/>
      <c r="M502" s="48"/>
      <c r="N502" s="47"/>
      <c r="O502" s="47"/>
      <c r="P502" s="25"/>
      <c r="Q502" s="48"/>
      <c r="S502" s="25"/>
    </row>
    <row r="503" spans="12:19" ht="12.75">
      <c r="L503" s="25"/>
      <c r="M503" s="48"/>
      <c r="N503" s="47"/>
      <c r="O503" s="47"/>
      <c r="P503" s="25"/>
      <c r="Q503" s="48"/>
      <c r="S503" s="25"/>
    </row>
    <row r="504" spans="12:19" ht="12.75">
      <c r="L504" s="25"/>
      <c r="M504" s="48"/>
      <c r="N504" s="47"/>
      <c r="O504" s="47"/>
      <c r="P504" s="25"/>
      <c r="Q504" s="48"/>
      <c r="S504" s="25"/>
    </row>
    <row r="505" spans="12:19" ht="12.75">
      <c r="L505" s="25"/>
      <c r="M505" s="48"/>
      <c r="N505" s="47"/>
      <c r="O505" s="47"/>
      <c r="P505" s="25"/>
      <c r="Q505" s="48"/>
      <c r="S505" s="25"/>
    </row>
    <row r="506" spans="12:19" ht="12.75">
      <c r="L506" s="25"/>
      <c r="M506" s="48"/>
      <c r="N506" s="47"/>
      <c r="O506" s="47"/>
      <c r="P506" s="25"/>
      <c r="Q506" s="48"/>
      <c r="S506" s="25"/>
    </row>
    <row r="507" spans="12:19" ht="12.75">
      <c r="L507" s="25"/>
      <c r="M507" s="48"/>
      <c r="N507" s="47"/>
      <c r="O507" s="47"/>
      <c r="P507" s="25"/>
      <c r="Q507" s="48"/>
      <c r="S507" s="25"/>
    </row>
    <row r="508" spans="12:19" ht="12.75">
      <c r="L508" s="25"/>
      <c r="M508" s="48"/>
      <c r="N508" s="47"/>
      <c r="O508" s="47"/>
      <c r="P508" s="25"/>
      <c r="Q508" s="48"/>
      <c r="S508" s="25"/>
    </row>
    <row r="509" spans="12:19" ht="12.75">
      <c r="L509" s="25"/>
      <c r="M509" s="48"/>
      <c r="N509" s="47"/>
      <c r="O509" s="47"/>
      <c r="P509" s="25"/>
      <c r="Q509" s="48"/>
      <c r="S509" s="25"/>
    </row>
    <row r="510" spans="12:19" ht="12.75">
      <c r="L510" s="25"/>
      <c r="M510" s="48"/>
      <c r="N510" s="47"/>
      <c r="O510" s="47"/>
      <c r="P510" s="25"/>
      <c r="Q510" s="48"/>
      <c r="S510" s="25"/>
    </row>
    <row r="511" spans="12:19" ht="12.75">
      <c r="L511" s="25"/>
      <c r="M511" s="48"/>
      <c r="N511" s="47"/>
      <c r="O511" s="47"/>
      <c r="P511" s="25"/>
      <c r="Q511" s="48"/>
      <c r="S511" s="25"/>
    </row>
    <row r="512" spans="12:19" ht="12.75">
      <c r="L512" s="25"/>
      <c r="M512" s="48"/>
      <c r="N512" s="47"/>
      <c r="O512" s="47"/>
      <c r="P512" s="25"/>
      <c r="Q512" s="48"/>
      <c r="S512" s="25"/>
    </row>
    <row r="513" spans="12:19" ht="12.75">
      <c r="L513" s="25"/>
      <c r="M513" s="48"/>
      <c r="N513" s="47"/>
      <c r="O513" s="47"/>
      <c r="P513" s="25"/>
      <c r="Q513" s="48"/>
      <c r="S513" s="25"/>
    </row>
    <row r="514" spans="12:19" ht="12.75">
      <c r="L514" s="25"/>
      <c r="M514" s="48"/>
      <c r="N514" s="47"/>
      <c r="O514" s="47"/>
      <c r="P514" s="25"/>
      <c r="Q514" s="48"/>
      <c r="S514" s="25"/>
    </row>
    <row r="515" spans="12:19" ht="12.75">
      <c r="L515" s="25"/>
      <c r="M515" s="48"/>
      <c r="N515" s="47"/>
      <c r="O515" s="47"/>
      <c r="P515" s="25"/>
      <c r="Q515" s="48"/>
      <c r="S515" s="25"/>
    </row>
    <row r="516" spans="12:19" ht="12.75">
      <c r="L516" s="25"/>
      <c r="M516" s="48"/>
      <c r="N516" s="47"/>
      <c r="O516" s="47"/>
      <c r="P516" s="25"/>
      <c r="Q516" s="48"/>
      <c r="S516" s="25"/>
    </row>
    <row r="517" spans="12:19" ht="12.75">
      <c r="L517" s="25"/>
      <c r="M517" s="48"/>
      <c r="N517" s="47"/>
      <c r="O517" s="47"/>
      <c r="P517" s="25"/>
      <c r="Q517" s="48"/>
      <c r="S517" s="25"/>
    </row>
    <row r="518" spans="12:19" ht="12.75">
      <c r="L518" s="25"/>
      <c r="M518" s="48"/>
      <c r="N518" s="47"/>
      <c r="O518" s="47"/>
      <c r="P518" s="25"/>
      <c r="Q518" s="48"/>
      <c r="S518" s="25"/>
    </row>
    <row r="519" spans="12:19" ht="12.75">
      <c r="L519" s="25"/>
      <c r="M519" s="48"/>
      <c r="N519" s="47"/>
      <c r="O519" s="47"/>
      <c r="P519" s="25"/>
      <c r="Q519" s="48"/>
      <c r="S519" s="25"/>
    </row>
    <row r="520" spans="12:19" ht="12.75">
      <c r="L520" s="25"/>
      <c r="M520" s="48"/>
      <c r="N520" s="47"/>
      <c r="O520" s="47"/>
      <c r="P520" s="25"/>
      <c r="Q520" s="48"/>
      <c r="S520" s="25"/>
    </row>
    <row r="521" spans="12:19" ht="12.75">
      <c r="L521" s="25"/>
      <c r="M521" s="48"/>
      <c r="N521" s="47"/>
      <c r="O521" s="47"/>
      <c r="P521" s="25"/>
      <c r="Q521" s="48"/>
      <c r="S521" s="25"/>
    </row>
    <row r="522" spans="12:19" ht="12.75">
      <c r="L522" s="25"/>
      <c r="M522" s="48"/>
      <c r="N522" s="47"/>
      <c r="O522" s="47"/>
      <c r="P522" s="25"/>
      <c r="Q522" s="48"/>
      <c r="S522" s="25"/>
    </row>
    <row r="523" spans="12:19" ht="12.75">
      <c r="L523" s="25"/>
      <c r="M523" s="48"/>
      <c r="N523" s="47"/>
      <c r="O523" s="47"/>
      <c r="P523" s="25"/>
      <c r="Q523" s="48"/>
      <c r="S523" s="25"/>
    </row>
    <row r="524" spans="12:19" ht="12.75">
      <c r="L524" s="25"/>
      <c r="M524" s="48"/>
      <c r="N524" s="47"/>
      <c r="O524" s="47"/>
      <c r="P524" s="25"/>
      <c r="Q524" s="48"/>
      <c r="S524" s="25"/>
    </row>
    <row r="525" spans="12:19" ht="12.75">
      <c r="L525" s="25"/>
      <c r="M525" s="48"/>
      <c r="N525" s="47"/>
      <c r="O525" s="47"/>
      <c r="P525" s="25"/>
      <c r="Q525" s="48"/>
      <c r="S525" s="25"/>
    </row>
  </sheetData>
  <sheetProtection/>
  <conditionalFormatting sqref="C107 C82 C38:C43 P115:P183 P201:P285 P61 P186:P199 E60:T60 V60:W60">
    <cfRule type="cellIs" priority="81" dxfId="0" operator="notEqual" stopIfTrue="1">
      <formula>$C38</formula>
    </cfRule>
  </conditionalFormatting>
  <conditionalFormatting sqref="U60">
    <cfRule type="cellIs" priority="89" dxfId="0" operator="notEqual" stopIfTrue="1">
      <formula>$C62</formula>
    </cfRule>
  </conditionalFormatting>
  <conditionalFormatting sqref="P54:P57">
    <cfRule type="cellIs" priority="101" dxfId="0" operator="notEqual" stopIfTrue="1">
      <formula>$C67</formula>
    </cfRule>
  </conditionalFormatting>
  <conditionalFormatting sqref="P23:P58 P63:P114">
    <cfRule type="cellIs" priority="31" dxfId="0" operator="notEqual" stopIfTrue="1">
      <formula>$C22</formula>
    </cfRule>
  </conditionalFormatting>
  <conditionalFormatting sqref="P58:P59">
    <cfRule type="cellIs" priority="126" dxfId="0" operator="notEqual" stopIfTrue="1">
      <formula>$C61</formula>
    </cfRule>
  </conditionalFormatting>
  <conditionalFormatting sqref="P49:P52">
    <cfRule type="cellIs" priority="128" dxfId="0" operator="notEqual" stopIfTrue="1">
      <formula>$C61</formula>
    </cfRule>
  </conditionalFormatting>
  <conditionalFormatting sqref="P61">
    <cfRule type="cellIs" priority="142" dxfId="0" operator="notEqual" stopIfTrue="1">
      <formula>$C59</formula>
    </cfRule>
  </conditionalFormatting>
  <conditionalFormatting sqref="D84:N156 T186:T285 T30:T51 Q208:Q285 Q23:S51 S186:S206 Q186:Q206 R186:R283 S208:S283 Q158:T181 T23:T28 Q13:T13 Q183:T183 O61:O156 O186:O206 P200 D30:J51 D201:L210 D212:L285 D23:K28 D13:O13 D211:O211 D186:N200 E61:N83 M208:O208 M201:N206 M23:O58 D158:O181 D183:O183 Q61:T156 L23:L59 K30:K59 I52:J59 G58:H59 D59:D83 E59:F59 Q59:T59 C48:C51 C82 C107 C200">
    <cfRule type="cellIs" priority="82" dxfId="0" operator="notEqual" stopIfTrue="1">
      <formula>#REF!</formula>
    </cfRule>
  </conditionalFormatting>
  <conditionalFormatting sqref="P49:P53">
    <cfRule type="cellIs" priority="130" dxfId="0" operator="notEqual" stopIfTrue="1">
      <formula>#REF!</formula>
    </cfRule>
  </conditionalFormatting>
  <conditionalFormatting sqref="C48:C52">
    <cfRule type="cellIs" priority="79" dxfId="0" operator="notEqual" stopIfTrue="1">
      <formula>#REF!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Murphy</dc:creator>
  <cp:keywords/>
  <dc:description/>
  <cp:lastModifiedBy>Eoghan O'Sullivan</cp:lastModifiedBy>
  <dcterms:created xsi:type="dcterms:W3CDTF">2010-05-24T13:28:15Z</dcterms:created>
  <dcterms:modified xsi:type="dcterms:W3CDTF">2020-05-15T07:13:54Z</dcterms:modified>
  <cp:category/>
  <cp:version/>
  <cp:contentType/>
  <cp:contentStatus/>
</cp:coreProperties>
</file>